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65" yWindow="65506" windowWidth="6135" windowHeight="730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- 1,2" sheetId="6" r:id="rId6"/>
    <sheet name="Приложение 6-3" sheetId="7" r:id="rId7"/>
    <sheet name="Приложение 7" sheetId="8" r:id="rId8"/>
  </sheets>
  <externalReferences>
    <externalReference r:id="rId11"/>
    <externalReference r:id="rId12"/>
  </externalReferences>
  <definedNames>
    <definedName name="_xlnm.Print_Titles" localSheetId="0">'Приложение 1'!$9:$9</definedName>
    <definedName name="_xlnm.Print_Titles" localSheetId="1">'Приложение 2'!$9:$12</definedName>
    <definedName name="_xlnm.Print_Titles" localSheetId="2">'Приложение 3'!$8:$8</definedName>
    <definedName name="_xlnm.Print_Titles" localSheetId="3">'Приложение 4'!$8:$8</definedName>
    <definedName name="_xlnm.Print_Area" localSheetId="1">'Приложение 2'!$A$1:$K$1185</definedName>
    <definedName name="_xlnm.Print_Area" localSheetId="2">'Приложение 3'!$A$1:$E$35</definedName>
    <definedName name="_xlnm.Print_Area" localSheetId="6">'Приложение 6-3'!$A$1:$R$38</definedName>
    <definedName name="_xlnm.Print_Area" localSheetId="7">'Приложение 7'!$A$1:$J$113</definedName>
  </definedNames>
  <calcPr fullCalcOnLoad="1"/>
</workbook>
</file>

<file path=xl/comments1.xml><?xml version="1.0" encoding="utf-8"?>
<comments xmlns="http://schemas.openxmlformats.org/spreadsheetml/2006/main">
  <authors>
    <author>Bayrakov</author>
  </authors>
  <commentList>
    <comment ref="C278" authorId="0">
      <text>
        <r>
          <rPr>
            <b/>
            <sz val="10"/>
            <rFont val="Tahoma"/>
            <family val="0"/>
          </rPr>
          <t>Без учета целевых средств по родовым сертификатам</t>
        </r>
      </text>
    </comment>
  </commentList>
</comments>
</file>

<file path=xl/comments2.xml><?xml version="1.0" encoding="utf-8"?>
<comments xmlns="http://schemas.openxmlformats.org/spreadsheetml/2006/main">
  <authors>
    <author>Bayrakov</author>
    <author>Nikolaeva</author>
  </authors>
  <commentList>
    <comment ref="H35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H404" authorId="0">
      <text>
        <r>
          <rPr>
            <sz val="10"/>
            <rFont val="Tahoma"/>
            <family val="2"/>
          </rPr>
          <t>Госстандарт МУК</t>
        </r>
      </text>
    </comment>
    <comment ref="H405" authorId="0">
      <text>
        <r>
          <rPr>
            <sz val="10"/>
            <rFont val="Tahoma"/>
            <family val="2"/>
          </rPr>
          <t>Госстандарт МУК</t>
        </r>
      </text>
    </comment>
    <comment ref="H459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H131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A79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9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F20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F3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F37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прчее бл. 3000</t>
        </r>
      </text>
    </comment>
    <comment ref="F37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F7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F111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11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G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G19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G20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G3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G37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прчее бл. 3000</t>
        </r>
      </text>
    </comment>
    <comment ref="G37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G7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G111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H7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</commentList>
</comments>
</file>

<file path=xl/comments3.xml><?xml version="1.0" encoding="utf-8"?>
<comments xmlns="http://schemas.openxmlformats.org/spreadsheetml/2006/main">
  <authors>
    <author>Nikolaeva</author>
  </authors>
  <commentList>
    <comment ref="C19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I68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I472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I50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На приобретение рит. Автобуса через КУИ 1300</t>
        </r>
      </text>
    </comment>
    <comment ref="G1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95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H1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H95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I1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</commentList>
</comments>
</file>

<file path=xl/sharedStrings.xml><?xml version="1.0" encoding="utf-8"?>
<sst xmlns="http://schemas.openxmlformats.org/spreadsheetml/2006/main" count="14326" uniqueCount="1925">
  <si>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</si>
  <si>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505 86 01</t>
  </si>
  <si>
    <t>Обеспечение мер социальной поддержки по оплате жилого помещения и коммунальных услуг одиноким пенсионерам*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</si>
  <si>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</si>
  <si>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</si>
  <si>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</si>
  <si>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</si>
  <si>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</si>
  <si>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</si>
  <si>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</si>
  <si>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</si>
  <si>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</si>
  <si>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</si>
  <si>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Реквизиты и дата привлечения</t>
  </si>
  <si>
    <t xml:space="preserve">Сумма привлеченных средств </t>
  </si>
  <si>
    <t>Процентрая ставка в %</t>
  </si>
  <si>
    <t>Срок погашения</t>
  </si>
  <si>
    <t>Сумма долговых обязательств</t>
  </si>
  <si>
    <t>Всего:</t>
  </si>
  <si>
    <t>в том числе:</t>
  </si>
  <si>
    <t>погашение основного долга</t>
  </si>
  <si>
    <t>выплата % и другие расходы по обслуживанию долга</t>
  </si>
  <si>
    <t xml:space="preserve">в том числе </t>
  </si>
  <si>
    <t xml:space="preserve">погашение основного долга </t>
  </si>
  <si>
    <t>основной долг</t>
  </si>
  <si>
    <t>% и другие расходы по обслуживанию долга</t>
  </si>
  <si>
    <t xml:space="preserve">основного долга </t>
  </si>
  <si>
    <t>-</t>
  </si>
  <si>
    <t>2. Кредиты, полученные муниципальным образованием</t>
  </si>
  <si>
    <t xml:space="preserve"> -</t>
  </si>
  <si>
    <t>Всего кредитов:</t>
  </si>
  <si>
    <t>3. Другие долговые обязательства, гарантированные муниципальным образованием</t>
  </si>
  <si>
    <t>Муниципальная гарантия МУП "Домодедовский водоканал" на пополнение оборотных средств</t>
  </si>
  <si>
    <t>Муниципальная гарантия МУП "Теплосеть" на пополнение оборотных средств</t>
  </si>
  <si>
    <t>092 03 00</t>
  </si>
  <si>
    <t>218 01 00</t>
  </si>
  <si>
    <t>219 01 00</t>
  </si>
  <si>
    <t>0700</t>
  </si>
  <si>
    <t>0707</t>
  </si>
  <si>
    <t>Прочие субсидии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</si>
  <si>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</si>
  <si>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поддержка в сфере культуры и кинематографии </t>
  </si>
  <si>
    <t>450 85 00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</si>
  <si>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</si>
  <si>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</si>
  <si>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</si>
  <si>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 xml:space="preserve">ЗДРАВООХРАНЕНИЕ  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</si>
  <si>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</si>
  <si>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</si>
  <si>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Бюджетные инвестиции (Реконструкция приемного покоя ЦРБ)</t>
  </si>
  <si>
    <t>Бюджетные инвестиции (Разработка ПСД, ПИР на строительство инфекционного корпуса МУ "ДЦРБ")</t>
  </si>
  <si>
    <t>Учреждения, обеспечивающие предоставления услуг в сфере здравоохранения</t>
  </si>
  <si>
    <t>469 00 00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</si>
  <si>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</si>
  <si>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469 99 00</t>
  </si>
  <si>
    <t>Больницы, клиники, госпитали, медико-санитарные части</t>
  </si>
  <si>
    <t>470 00 00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</si>
  <si>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</si>
  <si>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</si>
  <si>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</si>
  <si>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470 99 05</t>
  </si>
  <si>
    <t>Поликлиники, амбулатории, диагностические центры</t>
  </si>
  <si>
    <t>471 00 00</t>
  </si>
  <si>
    <t>471 99 00</t>
  </si>
  <si>
    <t>471 99 04</t>
  </si>
  <si>
    <t>Фельдшерско-акушерские пункты</t>
  </si>
  <si>
    <t>478 00 00</t>
  </si>
  <si>
    <t>478 99 00</t>
  </si>
  <si>
    <t>520 18 00</t>
  </si>
  <si>
    <t>Станции скорой и неотложной помощи</t>
  </si>
  <si>
    <t>477 00 00</t>
  </si>
  <si>
    <t>477 99 00</t>
  </si>
  <si>
    <t>Центры, станции и отделения по переливанию крови</t>
  </si>
  <si>
    <t>472 00 00</t>
  </si>
  <si>
    <t>472 99 00</t>
  </si>
  <si>
    <t>Другие вопросы в области здравоохранения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</si>
  <si>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</si>
  <si>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</si>
  <si>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Поддержка коммунального хозяйства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</si>
  <si>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</si>
  <si>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</si>
  <si>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</si>
  <si>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</si>
  <si>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 </t>
  </si>
  <si>
    <t>1 16 03010 01 0000 140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</si>
  <si>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</si>
  <si>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002 04 01</t>
  </si>
  <si>
    <t>Осуществление полномочий органов местного самоуправления</t>
  </si>
  <si>
    <t>120</t>
  </si>
  <si>
    <t>Закупка товаров, работ, услуг для муниципальных нужд</t>
  </si>
  <si>
    <t>200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</si>
  <si>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</si>
  <si>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</si>
  <si>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</si>
  <si>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002 04 08</t>
  </si>
  <si>
    <t>Проведение выборов Президента РФ</t>
  </si>
  <si>
    <t>020 02 00</t>
  </si>
  <si>
    <t>Резервные средства</t>
  </si>
  <si>
    <t>870</t>
  </si>
  <si>
    <t>111</t>
  </si>
  <si>
    <t>Выполнение функций казенными учреждениями</t>
  </si>
  <si>
    <t>110</t>
  </si>
  <si>
    <t>Оценка недвижимости, признание прав и регулирование отношений по государственной и муниципальной собственности</t>
  </si>
  <si>
    <t>092 02 00</t>
  </si>
  <si>
    <t>Иные закупки товаров, работ, услуг для муниципальных нужд в том числе:</t>
  </si>
  <si>
    <t>Взнос в уставные фонды муниципальных унитарных предприятий</t>
  </si>
  <si>
    <t>Закупка товаров, работ, услуг в целях капитального ремонта муниципального имущества</t>
  </si>
  <si>
    <t>1 16 25083 04 0000 140</t>
  </si>
  <si>
    <t>Денежные взыскания (штрафы) за нарушение водного законодательства, установленные на водных объектах, находящихся в собственности городских округов</t>
  </si>
  <si>
    <t>1 16 27000 01 0000 140</t>
  </si>
  <si>
    <t>Денежные взыскания (штрафы) за нарушение ФЗ "О пожарной безопасности"</t>
  </si>
  <si>
    <t>1 16 28000 01 0000 140</t>
  </si>
  <si>
    <t>000 01 06 04 00 00 0000 800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</si>
  <si>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</si>
  <si>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017 01 06 04 00 04 0000 810</t>
  </si>
  <si>
    <t>Финансовое управление Администрации городского округа Домодедово Московской области</t>
  </si>
  <si>
    <t>024</t>
  </si>
  <si>
    <t>Процентные платежи по муниципальному долгу</t>
  </si>
  <si>
    <t xml:space="preserve">Прочие расходы </t>
  </si>
  <si>
    <t>15</t>
  </si>
  <si>
    <t>Финансовая поддержка на возвратной основе</t>
  </si>
  <si>
    <t>520</t>
  </si>
  <si>
    <t>Примечание:</t>
  </si>
  <si>
    <t>* Публичные нормативные обязательства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</si>
  <si>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</si>
  <si>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</si>
  <si>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</si>
  <si>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</si>
  <si>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</si>
  <si>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017 01 06 05 01 04 0000 640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</si>
  <si>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</si>
  <si>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000 01 06 05 00 00 0000 500</t>
  </si>
  <si>
    <t>Предоставление  бюджетных кредитов  внутри страны в валюте Российской Федерации</t>
  </si>
  <si>
    <t>017 01 06 05 01 04 0000 540</t>
  </si>
  <si>
    <t>Предоставление бюджетных кредитов юридическим лицам из бюджета городского округа в валюте Российской Федерации</t>
  </si>
  <si>
    <t>000 50 00 00 00 00 0000 000</t>
  </si>
  <si>
    <t>Итого источников внутреннего финансирования</t>
  </si>
  <si>
    <t>000 90 00 00 00 00 0000 000</t>
  </si>
  <si>
    <t>Итого источников финансирования</t>
  </si>
  <si>
    <t>ВСЕГО: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</si>
  <si>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</si>
  <si>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</si>
  <si>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</si>
  <si>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</si>
  <si>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</si>
  <si>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</si>
  <si>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</si>
  <si>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</si>
  <si>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</si>
  <si>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</si>
  <si>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</si>
  <si>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</si>
  <si>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</si>
  <si>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</si>
  <si>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2 07 00000 00 0000 180</t>
  </si>
  <si>
    <t>ПРОЧИЕ БЕЗВОЗМЕЗДНЫЕ ПОСТУПЛЕНИЯ</t>
  </si>
  <si>
    <t>Прочие безвозмездные поступления в  бюджеты городских округов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</si>
  <si>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</si>
  <si>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</si>
  <si>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</t>
  </si>
  <si>
    <t>ФИЗИЧЕСКАЯ КУЛЬТУРА</t>
  </si>
  <si>
    <t>СРЕДСТВА МАССОВОЙ ИНФОРМАЦИИ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</si>
  <si>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</si>
  <si>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</si>
  <si>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</si>
  <si>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</si>
  <si>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</si>
  <si>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Субсидии на поддержку социально значимых проектов в сфере периодической печати</t>
  </si>
  <si>
    <t>450 05 00</t>
  </si>
  <si>
    <t>00</t>
  </si>
  <si>
    <t>Прочие расходы (Обслуживание муниципального долга)</t>
  </si>
  <si>
    <t>Выполнение функций органами местного самоуправления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</si>
  <si>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</si>
  <si>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</si>
  <si>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</si>
  <si>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№3-30/298 от
15.11.2012</t>
  </si>
  <si>
    <t>15.04.13</t>
  </si>
  <si>
    <t>№3-30/323 от
14.12.12</t>
  </si>
  <si>
    <t>14.05.13</t>
  </si>
  <si>
    <t>№3-30/394 от
27.12.2012</t>
  </si>
  <si>
    <t>27.02.13</t>
  </si>
  <si>
    <t>243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</si>
  <si>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</si>
  <si>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>Иные бюджетные ассигнования</t>
  </si>
  <si>
    <t>800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</si>
  <si>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</si>
  <si>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</si>
  <si>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Специальные расходы</t>
  </si>
  <si>
    <t>880</t>
  </si>
  <si>
    <t>Бюджетные инвестиции в объекты капитального строительства собственности муниципальных образований в том числе: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</si>
  <si>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</si>
  <si>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</si>
  <si>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</si>
  <si>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</si>
  <si>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102 02 01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</si>
  <si>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</si>
  <si>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t>Бюджетные инвестиции на приобретение объектов недвижимого имущества казенным учреждениям (Приобретение в муниципальную собственность земельного участка, для размещения административного здания по адресу: г. Домодедово, мкр. Северный, в целях организации охраны общественного порядка на территории городского округа Домодедово)</t>
  </si>
  <si>
    <t>Целевая субсидия на приобретение оборудования и инвентаря</t>
  </si>
  <si>
    <t>Программа "Развитие образования в городском округе Домодедово на 2011-2013 годы" (МБОУ детский дом им. Талалихина)</t>
  </si>
  <si>
    <t>795 01 24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</si>
  <si>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</si>
  <si>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>795 01 52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</si>
  <si>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</si>
  <si>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</si>
  <si>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</si>
  <si>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</si>
  <si>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Дефицит бюджета городского округа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</si>
  <si>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</si>
  <si>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</si>
  <si>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Управление образования</t>
  </si>
  <si>
    <t>Бюджетные инвестиции в объекты  капитального строительства, не включенные в целевые программы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</si>
  <si>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</si>
  <si>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№3-30/62 от 03.05.2011</t>
  </si>
  <si>
    <t>№3-30/136 от 15.07.2011</t>
  </si>
  <si>
    <t>13.01.12</t>
  </si>
  <si>
    <t>№3-30/140 от 18.07.2011</t>
  </si>
  <si>
    <t>№3-30/157 от 15.08.2011</t>
  </si>
  <si>
    <t>15.02.12</t>
  </si>
  <si>
    <t>ЗА 2012 ГОД.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</si>
  <si>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</si>
  <si>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Бюджетные инвестиции в объекты капитального строительства не включенные в целевые программы</t>
  </si>
  <si>
    <t>Поддержка жилищного хозяйства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</si>
  <si>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</si>
  <si>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</si>
  <si>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</si>
  <si>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Программа "Развитие малого и среднего предпринимательства в городском округе Домодедово на 2010-2013 годы"</t>
  </si>
  <si>
    <t>Программа "Развитие системы водоотведения городского округа Домодедово на 2011-2016 годы"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</si>
  <si>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</si>
  <si>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Капитальный ремонт государственного жилищного фонда субъектов РФ и муниципального жилищного фонда</t>
  </si>
  <si>
    <t>350 02 00</t>
  </si>
  <si>
    <t>Выполнение функций органами местного самоуправления(Ремонт внутридворовых территорий)</t>
  </si>
  <si>
    <t>Мероприятия в области жилищного хозяйства</t>
  </si>
  <si>
    <t>Комитет по управлению имуществом*</t>
  </si>
  <si>
    <t>226 20 4</t>
  </si>
  <si>
    <t>№3-30/175 от 15.09.2011</t>
  </si>
  <si>
    <t>15.03.12</t>
  </si>
  <si>
    <t>№3-30/202 от 14.10.2011</t>
  </si>
  <si>
    <t>14.02.12</t>
  </si>
  <si>
    <t>№3-30/259 от 15.11.2011</t>
  </si>
  <si>
    <t>13.04.12</t>
  </si>
  <si>
    <t>№3-30/274 от 09.12.2011</t>
  </si>
  <si>
    <t>Центры спортивной подготовки (сборные команды)</t>
  </si>
  <si>
    <t>482 00 00</t>
  </si>
  <si>
    <t>482 99 00</t>
  </si>
  <si>
    <t>512 97 00</t>
  </si>
  <si>
    <t xml:space="preserve">Другие вопросы в области здравоохранения </t>
  </si>
  <si>
    <t>СОЦИАЛЬНАЯ ПОЛИТИКА</t>
  </si>
  <si>
    <t>Пенсии</t>
  </si>
  <si>
    <t>490 00 00</t>
  </si>
  <si>
    <t>Доплаты к пенсиям, дополнительное пенсионное обеспечение</t>
  </si>
  <si>
    <t>491 00 00</t>
  </si>
  <si>
    <t>0908</t>
  </si>
  <si>
    <t>0909</t>
  </si>
  <si>
    <t>521 02 14</t>
  </si>
  <si>
    <t>522 15 04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</si>
  <si>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</si>
  <si>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</si>
  <si>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</si>
  <si>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2 02 02999 00 0000 151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</si>
  <si>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</si>
  <si>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</si>
  <si>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</si>
  <si>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</si>
  <si>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1 05 00000 00 0000 000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</si>
  <si>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</si>
  <si>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</si>
  <si>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</si>
  <si>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</si>
  <si>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</si>
  <si>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1 05 03000 01 0000 110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</si>
  <si>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</si>
  <si>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</si>
  <si>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</si>
  <si>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</si>
  <si>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</si>
  <si>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</si>
  <si>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Выплата единовременного пособия при всех формах устройства детей, лишенных родительского попечения, в семью</t>
  </si>
  <si>
    <t>424</t>
  </si>
  <si>
    <t>ФИЗИЧЕСКАЯ КУЛЬТУРА И СПОРТ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</si>
  <si>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</si>
  <si>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</si>
  <si>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</si>
  <si>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</si>
  <si>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</si>
  <si>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</si>
  <si>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</si>
  <si>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</si>
  <si>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 xml:space="preserve">Оздоровление детей </t>
  </si>
  <si>
    <r>
      <t>Примечание</t>
    </r>
    <r>
      <rPr>
        <sz val="9"/>
        <rFont val="Times New Roman Cyr"/>
        <family val="0"/>
      </rPr>
      <t>:       *Публичные нормативные обязательства</t>
    </r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</si>
  <si>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</si>
  <si>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</si>
  <si>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</si>
  <si>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</si>
  <si>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>Бюджетные инвестиции на разработку ПСД, ПИР дошкольного образовательного учреждения в г. Домодедово мкр. Западный на 250 мест</t>
  </si>
  <si>
    <t>Бюджетные инвестиции на строительство и разработку ПСД, ПИР детского сада на 120 мест в микрорайоне "Центральный", ул. Школьная</t>
  </si>
  <si>
    <t xml:space="preserve">Субсидии автономным учреждениям </t>
  </si>
  <si>
    <t>620</t>
  </si>
  <si>
    <t>Субсидии автономным учреждениям (Строительство и разработка ПСД, ПИР детского сада на 120 мест в микрорайоне "Центральный", ул. Школьная)</t>
  </si>
  <si>
    <t xml:space="preserve">Бюджетные инвестиции на приобретение оборудования 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</si>
  <si>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</si>
  <si>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</si>
  <si>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Целевая субсидия на технологическое присоединение к электрическим сетям МБДОУ д/с № 23 в г. Домодедово мкр. Западный на 250 мест</t>
  </si>
  <si>
    <t>Субсидии автономным учреждениям</t>
  </si>
  <si>
    <t>Субсидии автономным учреждениям на выполнение муниципального задания</t>
  </si>
  <si>
    <t>621</t>
  </si>
  <si>
    <t>Целевые субсидии автономным учреждениям, в том числе:</t>
  </si>
  <si>
    <t>Целевая субсидия на технологическое присоединение к детскому саду на 120 мест в микрорайоне Востряково</t>
  </si>
  <si>
    <t>Целевая субсидия на приобретение оборудования и инвентаря  детскому саду на 120 мест в микрорайоне Востряково</t>
  </si>
  <si>
    <t>Повышение с 01 декабря 2012 года оплаты труда педагогическх работников дошкольных образовательных учреждений</t>
  </si>
  <si>
    <t>522 10 47</t>
  </si>
  <si>
    <t>Долгосрочная целевая программа Московской области "Развитие дошкольного образования в Московской области в 2012-2014 годах"</t>
  </si>
  <si>
    <t>340 11 00</t>
  </si>
  <si>
    <t>ЖИЛИЩНО-КОММУНАЛЬНОЕ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</si>
  <si>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</si>
  <si>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</si>
  <si>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</si>
  <si>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</si>
  <si>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Обеспечение мероприятий по капитальному ремонту многоквартирных домов за счет средств бюджетов субъектов РФ</t>
  </si>
  <si>
    <t>098 02 01</t>
  </si>
  <si>
    <t>Обеспечение мероприятий по переселению граждан из аварийного жилищного фонда за счет  средств бюджетов</t>
  </si>
  <si>
    <t>098 02 02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</si>
  <si>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</si>
  <si>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</si>
  <si>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</si>
  <si>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</si>
  <si>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по Федеральной целевой программе "Социальное развитие села до 2012г."</t>
  </si>
  <si>
    <t>099</t>
  </si>
  <si>
    <t>Денежные взыскания (штрафы) за нарушение законодательства о налогах и сборах, предусмотренные статьями 116, 118, 119.1, пунктом 1 и 2 статьи 120, статьями 125, 126, 128, 129, 129.1, 132, 133, 134, 135, 135.1  Налогового кодекса РФ, а также штрафы, взыскание которых осуществляется на основании ранее действовавшей статьи 117 НК РФ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</si>
  <si>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</si>
  <si>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</si>
  <si>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</si>
  <si>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</si>
  <si>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</si>
  <si>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</si>
  <si>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1 16 18000 00 0000 140</t>
  </si>
  <si>
    <t xml:space="preserve">Денежные взыскания (штрафы) за нарушение законодательства об охране и использовании животного мира 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</si>
  <si>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</si>
  <si>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</si>
  <si>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</si>
  <si>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</si>
  <si>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</si>
  <si>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</si>
  <si>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1 16 25080 01 0000 140</t>
  </si>
  <si>
    <t>Денежные взыскания (штрафы) за нарушение водного законодательства</t>
  </si>
  <si>
    <t>РАЗДЕЛ 3.                                                                                                                                                             ПРОФИЦИТ БЮДЖЕТА (со знаком "плюс") ДЕФИЦИТ БЮДЖЕТА (со знаком "минус")</t>
  </si>
  <si>
    <t>РАЗДЕЛ 4.</t>
  </si>
  <si>
    <t>ИСТОЧНИКИ ВНУТРЕННЕГО ФИНАНСИРОВАНИЯ ДЕФИЦИТОВ БЮДЖЕТОВ СУБЪЕКТОВ РОССИЙСКОЙ ФЕДЕРАЦИИ И МЕСТНЫХ БЮДЖЕТОВ</t>
  </si>
  <si>
    <t xml:space="preserve">000 01 02 00 00 00 0000 000 </t>
  </si>
  <si>
    <t>Кредиты кредитных организаций в валюте Российской Федерации</t>
  </si>
  <si>
    <t>000 01 02 0000  00 0000 700</t>
  </si>
  <si>
    <t>Получение кредитов от кредитных организаций в валюте Российской Федерации</t>
  </si>
  <si>
    <t>017 01 02 00 00  04 0000 710</t>
  </si>
  <si>
    <t>Другие вопросы в области здравоохранения, физической культуры и спорта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</si>
  <si>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</si>
  <si>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</si>
  <si>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</si>
  <si>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</si>
  <si>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</si>
  <si>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Социальное обеспечение населения</t>
  </si>
  <si>
    <t>1004</t>
  </si>
  <si>
    <t>Охрана семьи и детства</t>
  </si>
  <si>
    <t>1006</t>
  </si>
  <si>
    <t>Другие вопросы 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</si>
  <si>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</si>
  <si>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</si>
  <si>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</si>
  <si>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</si>
  <si>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</si>
  <si>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</si>
  <si>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</si>
  <si>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470 10 06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</si>
  <si>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</si>
  <si>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</si>
  <si>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</si>
  <si>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470 30 05</t>
  </si>
  <si>
    <t>Целевые субсидии  бюджетным учреждениям, в том числе: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</si>
  <si>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</si>
  <si>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Капитальный ремонт квартир, выделенных под общежитие МБУЗ "ДЦГБ"</t>
  </si>
  <si>
    <t>470 99 03</t>
  </si>
  <si>
    <t>Подпрограмма Московской области  "Модернизация здравоохранения Московской области на 2011-2012 годы"</t>
  </si>
  <si>
    <t>Программа "Развитие здравоохранения городского округа Домодедово на 2012-2014 годы"</t>
  </si>
  <si>
    <t>795 10 00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</si>
  <si>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</si>
  <si>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Целевая  субсидия на приобретение оборудования, инвентаря, капитальный ремонт помещений и зданий структурных подразделений здравоохранения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</si>
  <si>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лет*</t>
  </si>
  <si>
    <t>471 10 04</t>
  </si>
  <si>
    <t>Охрана объектов растительного и животного мира и  среды их обитания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</si>
  <si>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</si>
  <si>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</si>
  <si>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1 06 06022 04 0000 110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</si>
  <si>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</si>
  <si>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</si>
  <si>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</si>
  <si>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</si>
  <si>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</si>
  <si>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</si>
  <si>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</si>
  <si>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</si>
  <si>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</si>
  <si>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1 08 07150 01 0000 110 </t>
  </si>
  <si>
    <t>Государственная пошлина за выдачу разрешения на установку рекламной конструкции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</si>
  <si>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</si>
  <si>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</si>
  <si>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1 09 01000 00 0000 110</t>
  </si>
  <si>
    <t xml:space="preserve">Налог на прибыль  организаций, зачислявшийся до 1 января 2005 года в местные бюджеты  </t>
  </si>
  <si>
    <t>1 09 01020 04 0000 110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</si>
  <si>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</si>
  <si>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</si>
  <si>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</si>
  <si>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</si>
  <si>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</si>
  <si>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2 02 02008 00 0000 151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</si>
  <si>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</si>
  <si>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</si>
  <si>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Прочие налоги и сборы (по отмененным местным налогам и сборам)</t>
  </si>
  <si>
    <t>1 09 07010 00 0000 110</t>
  </si>
  <si>
    <t>Налог на рекламу</t>
  </si>
  <si>
    <t>Налог на рекламу, мобилизуемый на территориях городских округов</t>
  </si>
  <si>
    <t>1 09 07030 00 0000 110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</si>
  <si>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</si>
  <si>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</si>
  <si>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</si>
  <si>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</si>
  <si>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 Фонд содействия реформированию жилищно-коммунального хозяйства</t>
  </si>
  <si>
    <t>2 02 02089 00 0000 151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</si>
  <si>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</si>
  <si>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520 01 00</t>
  </si>
  <si>
    <t>Выплата семьям опекунов на содержание подопечных детей</t>
  </si>
  <si>
    <t>423</t>
  </si>
  <si>
    <t>505 86 13</t>
  </si>
  <si>
    <t>505 86 16</t>
  </si>
  <si>
    <t>505 86 17</t>
  </si>
  <si>
    <t>001 43 00</t>
  </si>
  <si>
    <t>0500</t>
  </si>
  <si>
    <t>0501</t>
  </si>
  <si>
    <t>0409</t>
  </si>
  <si>
    <t>500</t>
  </si>
  <si>
    <t>Код по бюджетной класси-фикации</t>
  </si>
  <si>
    <t>Исполнено</t>
  </si>
  <si>
    <t>II. Погашение заимствований</t>
  </si>
  <si>
    <t>3.</t>
  </si>
  <si>
    <t>Исполнение муниципальных гарантий в валюте РФ,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</si>
  <si>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505 86 22</t>
  </si>
  <si>
    <r>
      <t>Приложение №</t>
    </r>
    <r>
      <rPr>
        <u val="single"/>
        <sz val="10"/>
        <rFont val="Times New Roman Cyr"/>
        <family val="1"/>
      </rPr>
      <t xml:space="preserve">   1   </t>
    </r>
  </si>
  <si>
    <t>Комитет по управлению имуществом</t>
  </si>
  <si>
    <t>0000 00 00</t>
  </si>
  <si>
    <t>Итого по разделу 0100</t>
  </si>
  <si>
    <t>Итого по разделу 0700</t>
  </si>
  <si>
    <t>Итого по разделу 0900</t>
  </si>
  <si>
    <t>Итого по разделу 1000</t>
  </si>
  <si>
    <t>Бюджетные кредиты, полученные от других бюджетов бюджетной системы РФ местными бюджетами</t>
  </si>
  <si>
    <t>Кредиты, полученные в валюте РФ от кредитных организаций местными бюджетами</t>
  </si>
  <si>
    <t>Оказание других видов социальной помощи*</t>
  </si>
  <si>
    <t>505 86 18</t>
  </si>
  <si>
    <t>Субсидия на оплату услуг по капитальному ремонту жилого фонда льготным категориям граждан*</t>
  </si>
  <si>
    <t>505 86 20</t>
  </si>
  <si>
    <t>Выплата единовременной материальной помощи по медицинским показаниям*</t>
  </si>
  <si>
    <t>505 86 21</t>
  </si>
  <si>
    <t>Реализация государственных функций в области социальной политики</t>
  </si>
  <si>
    <t>514 00 00</t>
  </si>
  <si>
    <t>514 01 01</t>
  </si>
  <si>
    <t xml:space="preserve">Социальные выплаты </t>
  </si>
  <si>
    <t>Прочие расходы (проведение мероприятий)</t>
  </si>
  <si>
    <t>514 01 02</t>
  </si>
  <si>
    <t>Обеспечение жильем молодых семей</t>
  </si>
  <si>
    <t>795 11 12</t>
  </si>
  <si>
    <t xml:space="preserve">Форма долгового обязательства </t>
  </si>
  <si>
    <t>09.02.12</t>
  </si>
  <si>
    <t>№3-30/280 от 19.12.2011</t>
  </si>
  <si>
    <t>№3-30/294 от 26.12.2011</t>
  </si>
  <si>
    <t>26.12.13</t>
  </si>
  <si>
    <t>Телевидение и радиовещание</t>
  </si>
  <si>
    <t>1202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</si>
  <si>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</si>
  <si>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</si>
  <si>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</si>
  <si>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</si>
  <si>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</si>
  <si>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</si>
  <si>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</si>
  <si>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</si>
  <si>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9600</t>
  </si>
  <si>
    <t>ИТОГО РАСХОДОВ</t>
  </si>
  <si>
    <t>9700</t>
  </si>
  <si>
    <t>Бюджетные инвестиции на приобретение комплекса "Коррекция психоэмоционального состояния" для МАДОУ  Домодедовская СОШ №2</t>
  </si>
  <si>
    <t>Бюджетные инвестиции на приобретение пианино для МАДОУ  Домодедовская СОШ №1</t>
  </si>
  <si>
    <t>Целевые субсидии бюджетным  учреждениям, в том числе:</t>
  </si>
  <si>
    <t>Целеввая субсидия на проведение ремонта в муниципальных бюджетных общеобразовательных учреждениях</t>
  </si>
  <si>
    <t>Целеввая субсидия на проведение ремонта в муниципальных автономных общеобразовательных учреждениях</t>
  </si>
  <si>
    <t>Целеввая субсидия на приобретение мебели,  оборудования и инвентаря</t>
  </si>
  <si>
    <t>Программа "Развитие образования в городском округе Домодедово на 2011-2013 годы" (в  школе-интернате)</t>
  </si>
  <si>
    <t>795 01 22</t>
  </si>
  <si>
    <t>Программа "Развитие образования в городском округе Домодедово на 2011-2013 годы" (Учреждения по внешкольной работе с детьми)</t>
  </si>
  <si>
    <t>795 01 23</t>
  </si>
  <si>
    <t>Бюджетные инвестиции на приобретение основных средств</t>
  </si>
  <si>
    <t>Целеввая субсидия на проведение ремонта в муниципальных бюджетных образовательных учреждениях дополнительного образования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</si>
  <si>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</si>
  <si>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</si>
  <si>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</si>
  <si>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</si>
  <si>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</si>
  <si>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</si>
  <si>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</si>
  <si>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2 02 03055 00 0000 151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</si>
  <si>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</si>
  <si>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</si>
  <si>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</si>
  <si>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</si>
  <si>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</si>
  <si>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2 02 03069 04 0000 151</t>
  </si>
  <si>
    <t>ВСЕГО ЗА 1 КВАРТАЛ:</t>
  </si>
  <si>
    <t>Комитет по культуре, делам молодежи и спорту</t>
  </si>
  <si>
    <t>351 05 00</t>
  </si>
  <si>
    <t>(тыс.руб.)</t>
  </si>
  <si>
    <t>Наименование расхода</t>
  </si>
  <si>
    <t>Утвержденный план</t>
  </si>
  <si>
    <t>Информация о состоянии и движении муниципального долга городского округа Домодедово  Московской области</t>
  </si>
  <si>
    <t>1. Муниципальные займы, выпущенные городским округом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</si>
  <si>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</si>
  <si>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</si>
  <si>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Оказание социальной помощи</t>
  </si>
  <si>
    <t>Обеспечение мер социальной поддержки ветеранов труда</t>
  </si>
  <si>
    <t>505 31 10</t>
  </si>
  <si>
    <t>Обеспечение мер социальной поддержки тружеников тыла</t>
  </si>
  <si>
    <t>505 31 20</t>
  </si>
  <si>
    <t xml:space="preserve">Мероприятия в области социальной политики </t>
  </si>
  <si>
    <t>505 33 00</t>
  </si>
  <si>
    <t>Социальные выплаты (приобретение школьной формы для детей из многодетных семей)</t>
  </si>
  <si>
    <t>Мероприятия в области социальной политики</t>
  </si>
  <si>
    <t>Социальные выплаты (приобретение школьной формы для детей из многодетных семей)*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</si>
  <si>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</si>
  <si>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505 34 00</t>
  </si>
  <si>
    <t>505 34 01</t>
  </si>
  <si>
    <t>505 34 02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</si>
  <si>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</si>
  <si>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505 36 00</t>
  </si>
  <si>
    <t>505 48 00</t>
  </si>
  <si>
    <t xml:space="preserve">по разделам, подразделам, целевым статьям и видам расходов бюджетов </t>
  </si>
  <si>
    <t xml:space="preserve">Процентные платежи по муниципальному долгу 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</si>
  <si>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</si>
  <si>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</si>
  <si>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</si>
  <si>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</si>
  <si>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</si>
  <si>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</si>
  <si>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</si>
  <si>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13</t>
  </si>
  <si>
    <t>080 00 00</t>
  </si>
  <si>
    <t>Прикладные и научные исследования и разработки</t>
  </si>
  <si>
    <t>081 00 00</t>
  </si>
  <si>
    <t>520 10 00</t>
  </si>
  <si>
    <t>Целевая субсидия на приобретение основных средств автономным учреждениям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</si>
  <si>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</si>
  <si>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</si>
  <si>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</si>
  <si>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</si>
  <si>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</si>
  <si>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</si>
  <si>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д/с № 35 "Дельфин"</t>
  </si>
  <si>
    <t>Бюджетные инвестиции на оказание услуг по техническому надзору за выполнением работ по строительству МБДОУ д/с № 23 "Золотой ключик"</t>
  </si>
  <si>
    <t>Бюлджетные инвестиции на выполнение функций технического заказчика по строительству МБДОУ д/с № 23 "Золотой ключик"</t>
  </si>
  <si>
    <t xml:space="preserve">Целевые  субсидии бюджетным учреждениям, в том числе: </t>
  </si>
  <si>
    <t>Целевая субсидия на разработку проектно технической документации на подключение газа МАУК "ГПКиО "Елочки"</t>
  </si>
  <si>
    <t>Обеспечение деятельности подведомственных учреждений на целевые субсидии</t>
  </si>
  <si>
    <t>440 99 03</t>
  </si>
  <si>
    <t>ВСЕГО ЗА 1 ПОЛУГОДИЕ</t>
  </si>
  <si>
    <t>Обеспечение жильем молодых семей в гор. Округе Домодедово на 2007-2010гг.</t>
  </si>
  <si>
    <t>Программа "Социальная поддержка инвалидов городского округа Домодедово на 2011-2013 годы"</t>
  </si>
  <si>
    <t>Программа "Улучшение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2010-2012 годы"</t>
  </si>
  <si>
    <t>Обслуживание государственного долга Российской Федерации</t>
  </si>
  <si>
    <t>710</t>
  </si>
  <si>
    <t>Счетная палата городского округа Домодедово Московской области</t>
  </si>
  <si>
    <t>структуры расходов бюджета городского округа Домодедово за 2012 год</t>
  </si>
  <si>
    <t>090 00 00</t>
  </si>
  <si>
    <t>522 13 00</t>
  </si>
  <si>
    <t>795 11 18</t>
  </si>
  <si>
    <t>436 21 00</t>
  </si>
  <si>
    <t>Модернизация региональных систем общего образования</t>
  </si>
  <si>
    <t>522 10 01</t>
  </si>
  <si>
    <t>522 10 04</t>
  </si>
  <si>
    <t>432 04 00</t>
  </si>
  <si>
    <t>440 02 01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</si>
  <si>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</si>
  <si>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</si>
  <si>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</si>
  <si>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</si>
  <si>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</si>
  <si>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</si>
  <si>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097</t>
  </si>
  <si>
    <t>08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</si>
  <si>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</si>
  <si>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</si>
  <si>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</si>
  <si>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</si>
  <si>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</si>
  <si>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Школы -интернаты</t>
  </si>
  <si>
    <t xml:space="preserve">Государственная поддержка внедрения комплексных мер модернизации образования 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</si>
  <si>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</si>
  <si>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</si>
  <si>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0402</t>
  </si>
  <si>
    <t>Топливно -  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</si>
  <si>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</si>
  <si>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</si>
  <si>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</si>
  <si>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</si>
  <si>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</si>
  <si>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</si>
  <si>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</si>
  <si>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</si>
  <si>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Дорожное хозяйство (дорожные фонды)</t>
  </si>
  <si>
    <t>0410</t>
  </si>
  <si>
    <t>Связь и информатика</t>
  </si>
  <si>
    <t>0412</t>
  </si>
  <si>
    <t>Другие вопросы  в области национальной экономики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</si>
  <si>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</si>
  <si>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</si>
  <si>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Субсидии по оплате жилого помещения и коммунальных услуг одиноким пенсионерам*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</si>
  <si>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</si>
  <si>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</si>
  <si>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1 05 03010 01 0000 110</t>
  </si>
  <si>
    <t>1 09 04052 04 0000 110</t>
  </si>
  <si>
    <t>1 09 07012 04 0000 110</t>
  </si>
  <si>
    <t>1 09 07032 04 0000 110</t>
  </si>
  <si>
    <t>1 09 07052 04 0000 110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</si>
  <si>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</si>
  <si>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</si>
  <si>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</si>
  <si>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</si>
  <si>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</si>
  <si>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</si>
  <si>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выбросы загрязняющих веществ в атмосферный воздух передвижными объектами</t>
  </si>
  <si>
    <t>1 12 01 030 01 0000 120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</si>
  <si>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</si>
  <si>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</si>
  <si>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потребления</t>
  </si>
  <si>
    <t>1 13 01000 00 0000 130</t>
  </si>
  <si>
    <t>Прочие доходы от оказания платных услуг (работ)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</si>
  <si>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</si>
  <si>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</si>
  <si>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</si>
  <si>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1 13 02994 04 0000 130</t>
  </si>
  <si>
    <t>Прочие доходы  от компенсации затрат бюджетов городских округов</t>
  </si>
  <si>
    <t>1 14 02040 04 0000 410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</si>
  <si>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</si>
  <si>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</si>
  <si>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1 14 02043 04 0000 410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</si>
  <si>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</si>
  <si>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</si>
  <si>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2 02 02077 00 0000 151</t>
  </si>
  <si>
    <t>Субсидии бюджетам на бюджетные инвестиции в объекты капитального строительства собственности муниципальных образований</t>
  </si>
  <si>
    <t>2 02 02077 04 0000 151</t>
  </si>
  <si>
    <t>Субсидии бюджетам городских округовна бюджетные инвестиции в объекты капитального строительства собственности муниципальных образований</t>
  </si>
  <si>
    <t>2 02 02141 00 0000 151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</si>
  <si>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</si>
  <si>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2 02 02141 04 0001 151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</si>
  <si>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</si>
  <si>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2 02 03078 00 0000 151</t>
  </si>
  <si>
    <t>Субвенции бюджетам на модернизацию региональных систем общего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</si>
  <si>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</si>
  <si>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</si>
  <si>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2 02 04041 00 0000 151</t>
  </si>
  <si>
    <t>Обеспечение деятельности подведомственных учреждений</t>
  </si>
  <si>
    <t>081 99 00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</si>
  <si>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</si>
  <si>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</si>
  <si>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</si>
  <si>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</si>
  <si>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</si>
  <si>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</si>
  <si>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</si>
  <si>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</si>
  <si>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Бюджетные инвестиции в т.ч.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</si>
  <si>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</si>
  <si>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</si>
  <si>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капитальный ремонт кровли ФОК "Фокус" </t>
  </si>
  <si>
    <t>482 99 03</t>
  </si>
  <si>
    <t xml:space="preserve">Целевая субсидия на приобретение основных средств </t>
  </si>
  <si>
    <t xml:space="preserve">Целевая субсидия на технадзор по капитальному ремонту кровли ФОК "Фокус" 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</si>
  <si>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</si>
  <si>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</si>
  <si>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</si>
  <si>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</si>
  <si>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</si>
  <si>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Целевая субсидия на проектирование охранно-защитной зоны МАУ "ГС "Авангард"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</si>
  <si>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</si>
  <si>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</si>
  <si>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</si>
  <si>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</si>
  <si>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субсидияна  ремонт помещений МБУ "ЦФКС "Горизонт" и строительно-монтажных работ по ремонту кровли здания МБУ "ЦФКС "Горизонт"</t>
  </si>
  <si>
    <t xml:space="preserve">Целевая субсидияна  ремонт хоккейной коробки МБУ "ЦФКС "Горизонт" </t>
  </si>
  <si>
    <t>на 01 января 2013 года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</si>
  <si>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2"/>
        <rFont val="Times New Roman"/>
        <family val="1"/>
      </rPr>
      <t xml:space="preserve">                                                                      </t>
    </r>
  </si>
  <si>
    <t>Годовой объем резервного фонда</t>
  </si>
  <si>
    <t xml:space="preserve">Приобретение переносных ящиков для голосования и информационных плакатов для избирательных участков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</si>
  <si>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</si>
  <si>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</si>
  <si>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</si>
  <si>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</si>
  <si>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</si>
  <si>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</si>
  <si>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</si>
  <si>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</si>
  <si>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</si>
  <si>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</si>
  <si>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</si>
  <si>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</si>
  <si>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</si>
  <si>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</si>
  <si>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</si>
  <si>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</si>
  <si>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 бюджеты городских округов</t>
  </si>
  <si>
    <t>1 17 02000 00 0000 180</t>
  </si>
  <si>
    <t>Возмещение потерь сельскохозяйственного производства, связанных с  изъятием сельскохозяйственных угодий</t>
  </si>
  <si>
    <t>1 17 02000 04 0000 180</t>
  </si>
  <si>
    <t xml:space="preserve"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</t>
  </si>
  <si>
    <t>1 17 05000 00 0000 180</t>
  </si>
  <si>
    <t>Прочие неналоговые доходы</t>
  </si>
  <si>
    <t>1 17 05040 04 0000 180</t>
  </si>
  <si>
    <t>Прочие неналоговые доходы  бюджетов городских округов</t>
  </si>
  <si>
    <t>1 19 00000 00 0000 000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</si>
  <si>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</si>
  <si>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</si>
  <si>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</si>
  <si>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</si>
  <si>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</si>
  <si>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</si>
  <si>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др. бюджетов бюджетной системы РФ</t>
  </si>
  <si>
    <t>2 02 01000 00 0000 151</t>
  </si>
  <si>
    <t>Дотации бюджетам субъектов РФ и муниципальных образований</t>
  </si>
  <si>
    <t>2 02 01999 04 0000 151</t>
  </si>
  <si>
    <t>Прочие дотации бюджетам городских округов</t>
  </si>
  <si>
    <t>2 02 02000 00 0000 151</t>
  </si>
  <si>
    <t>Субсидии бюджетам субъектов РФ и муниципальных образований (межбюджетные субсидии)</t>
  </si>
  <si>
    <t>2 02 02085 00 0000 151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</si>
  <si>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</si>
  <si>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2 02 02085 04 0000 151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</si>
  <si>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</si>
  <si>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2 02 02088 00 0000 151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</si>
  <si>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</si>
  <si>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</si>
  <si>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Программа "Профилактика преступлений и иных правонарушений на территории городского округа Домодедово на  2012-2014 годы"</t>
  </si>
  <si>
    <t>795 02 00</t>
  </si>
  <si>
    <t>400</t>
  </si>
  <si>
    <t xml:space="preserve">Субсидии бюджетным учреждениям </t>
  </si>
  <si>
    <t>610</t>
  </si>
  <si>
    <t>Субсидии бюджетным учреждениям на выполнение муниципального задания</t>
  </si>
  <si>
    <t>611</t>
  </si>
  <si>
    <t>Отдельные мероприятия в области автомобильного транспорта на погашение кредиторской задолженности гор. окр. Домодедово по частичной компенсации транспортных расходов по доставке товаров для населения в сельские населенные пункты за 2009-2010 годы</t>
  </si>
  <si>
    <t>303 02 10</t>
  </si>
  <si>
    <t>Прочая закупка товаров, работ и услуг для муниципальных нужд</t>
  </si>
  <si>
    <t>244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</si>
  <si>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 Отдельные мероприятия в области автомобильного транспорта (прочие расходы)</t>
  </si>
  <si>
    <t>303 30 02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</si>
  <si>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</si>
  <si>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</si>
  <si>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1201</t>
  </si>
  <si>
    <t xml:space="preserve">Состояние окружающей среды и природопользования 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</si>
  <si>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</si>
  <si>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</si>
  <si>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Периодические издания, учрежденные органами законодательной и исполнительной власти</t>
  </si>
  <si>
    <t>ЗДРАВООХРАНЕНИЕ И СПОРТ</t>
  </si>
  <si>
    <t>Фонд компенсаций</t>
  </si>
  <si>
    <t>Предоставление гражданам субсидий на оплату жилья и коммунальных услуг</t>
  </si>
  <si>
    <t>572</t>
  </si>
  <si>
    <t>Социальные выплаты (проведение мероприятий)</t>
  </si>
  <si>
    <t>Межбюджетные трансферты</t>
  </si>
  <si>
    <t>Другие межбюджетные трансферты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</si>
  <si>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</si>
  <si>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</si>
  <si>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521 00 00</t>
  </si>
  <si>
    <t>Иные межбюджетные трансферты бюджетам бюджетной системы</t>
  </si>
  <si>
    <t>521 03 00</t>
  </si>
  <si>
    <t>Совет депутатов городского округа Домодедово  МО</t>
  </si>
  <si>
    <t>457 00 00</t>
  </si>
  <si>
    <t>457 85 00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</si>
  <si>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</si>
  <si>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1 11 05030 00 0000 120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</si>
  <si>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</si>
  <si>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</si>
  <si>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Муниципальная гарантия МУП "Теплосеть" на оплату энергоносителей</t>
  </si>
  <si>
    <t>0709</t>
  </si>
  <si>
    <t>0800</t>
  </si>
  <si>
    <t>0</t>
  </si>
  <si>
    <t>0502</t>
  </si>
  <si>
    <t>0600</t>
  </si>
  <si>
    <t>Раздел 1. ДОХОДЫ</t>
  </si>
  <si>
    <t>1 00 00000 00 0000 000</t>
  </si>
  <si>
    <t>НАЛОГОВЫЕ И НЕНАЛОГОВЫЕ ДОХОДЫ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</si>
  <si>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</si>
  <si>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</si>
  <si>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</si>
  <si>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</si>
  <si>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Выплата единовременной материальной помощи участникам обороны Ленинграда*</t>
  </si>
  <si>
    <t>505 86 11</t>
  </si>
  <si>
    <t>Выплата единовременной материальной помощи участникам Сталинградской битвы*</t>
  </si>
  <si>
    <t>505 86 12</t>
  </si>
  <si>
    <t>Выплата единовременной материальной помощи участникам ВОВ к дню Победы (включая вдов)*</t>
  </si>
  <si>
    <t>100 88 11</t>
  </si>
  <si>
    <t>100 88 20</t>
  </si>
  <si>
    <t>241 20 4</t>
  </si>
  <si>
    <t>Целевые субсидии автономным учреждениям (Проектирование канализации в городском парке культуры и отдыха "Елочки")</t>
  </si>
  <si>
    <t>622</t>
  </si>
  <si>
    <t>795 06 00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</si>
  <si>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</si>
  <si>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</si>
  <si>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>Программа "Газификация сельских населенных пунктов городского округа Домодедово 2012-2014 годы."</t>
  </si>
  <si>
    <t>795 19 00</t>
  </si>
  <si>
    <t>Бюджетные инвестиции на строительство сетей уличного освещения</t>
  </si>
  <si>
    <t>Целевая субсидия на устройство хоккейной коробки в с.Растуново</t>
  </si>
  <si>
    <t>Расходы на премирование победителей и призеров предварительного этапа Всероссийского конкурса на звание "Самое благоустроенное городское (сельское) поселение России" за 2011 год</t>
  </si>
  <si>
    <t>600 01 09</t>
  </si>
  <si>
    <t>Осуществление полномочий органов местного самоуправления (софинансирование расходных обязательств, предусмотренных на организацию мероприятий по благоустройству и озеленению территории городского округа Домодедово, закупку специализированной техники, средств малой механизации и оборудования для благоустройства и озеленения территории городского округа Домодедово)</t>
  </si>
  <si>
    <t>Целевая  субсидия на приобретение оборудования, элементов благоустройства, основных средств, вывоз несанкционированных свалок</t>
  </si>
  <si>
    <t>Целевая субсидия для цветочного оформления клумб к весеннему периоду 2013 г.</t>
  </si>
  <si>
    <t>Целевая субсидия на ограждение радиоактивно загрязненной свалки</t>
  </si>
  <si>
    <t>Целевая субсидия на софинансирование расходных обязательств, предусмотренных на организацию мероприятий по благоустройству и озеленению территории городского округа Домодедово, закупку специализированной техники, средств малой механизации и оборудования для благоустройства и озеленения территории городского округа Домодедово</t>
  </si>
  <si>
    <t>Программа 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</si>
  <si>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Охрана объектов растительного и  животного мира и среды их обитания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</si>
  <si>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</si>
  <si>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бюджетным учреждениям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</si>
  <si>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</si>
  <si>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Бюджетные инвестиции на технологическое присоединение МАДОУ д/с № 1</t>
  </si>
  <si>
    <t>Бюджетные инвестиции на инженерно-экологические и инженерно-геологические изыскания по МАДОУ ЦРР д/с № 35 "Дельфин"</t>
  </si>
  <si>
    <t>Бюджетные инвестиции на разработку ПСД, ПИР, строительство дошкольного образовательного учреждения «г. Домодедово, микрорайон Авиационный, улица Жуковского, детский сад на 190 мест с бассейном», расположенного по адресу: г. Домодедово, микрорайон Авиационный, улица Жуковского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</si>
  <si>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</si>
  <si>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</si>
  <si>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 xml:space="preserve">Приобретение подарка в связи с празднованием 60-летия со дня образования МАОУ Барыбинская средняя общеобразовательная школа </t>
  </si>
  <si>
    <t>Приобретение подарка в связи с празднованием 60-летия со дня образования МАОУ Домодедовская средняя общеобразовательная школа № 7 с углубленным изучением отдельных предметов</t>
  </si>
  <si>
    <t>Приобретение антирабической вакцины</t>
  </si>
  <si>
    <t>Управление здравоохранения</t>
  </si>
  <si>
    <r>
      <t xml:space="preserve">Оказание материальной помощи Ворониной Раисе Павловне, пострадавшей в результате пожара по адресу: г. Домодедово, мкр. Белые Столбы, ул. Октябрьская, д. 4                                                                             </t>
    </r>
    <r>
      <rPr>
        <sz val="12"/>
        <rFont val="Times New Roman Cyr"/>
        <family val="1"/>
      </rPr>
      <t xml:space="preserve">                          </t>
    </r>
  </si>
  <si>
    <t>Оказание материальной помощи Полковниковой Валентине Дмитриевне, пострадавшей в результате пожара по адресу: г. Домодедово, с. Красный путь, ул. Парковая, д. 3, кв. 4</t>
  </si>
  <si>
    <t>Оказание материальной помощи Полухиной Елене Николаевне, пострадавшей в результате пожара по адресу: г. Домодедово, с. Красный путь, ул. Парковая, д. 3, кв. 2</t>
  </si>
  <si>
    <t>Оказание материальной помощи Копица Ольге Дмитриевне, пострадавшей в результате пожара по адресу: г. Домодедово, Подольский пр-д, д. 14, кв. 44</t>
  </si>
  <si>
    <t>Оказание материальной помощи Бабию Александру Анатольевичу, пострадавшему в результате пожара по адресу: г. Домодедово, Подольский пр-д, д. 14, кв. 44</t>
  </si>
  <si>
    <t>Оказание материальной помощи Бабий Любови Николаевне, пострадавшей в результате пожара по адресу: г. Домодедово, Подольский пр-д, д. 14, кв. 44</t>
  </si>
  <si>
    <t>Оказание материальной помощи Бабий Алесе Сергеевне, пострадавшей в результате пожара по адресу: г. Домодедово, Подольский пр-д, д. 14, кв. 44</t>
  </si>
  <si>
    <t>Оказание материальной помощи Бабию Анатолию Федоровичу, пострадавшему в результате пожара по адресу: г. Домодедово, Подольский пр-д, д. 14, кв. 44</t>
  </si>
  <si>
    <t>Оказание материальной помощи Антонову Андрею Геннадьевичу, пострадавшему в результате пожара по адресу: г. Домодедово, с. Красный путь, ул. Парковая, д. 3, кв. 4</t>
  </si>
  <si>
    <t>Оказание материальной помощи Антоновой Вере Ивановне, пострадавшей в результате пожара по адресу: г. Домодедово, с. Красный путь, ул. Парковая, д. 3, кв. 1</t>
  </si>
  <si>
    <t>Оказание материальной помощи Антоновой Анастасии Геннадьевне, пострадавшей в результате пожара по адресу: г. Домодедово, с. Красный путь, ул. Парковая, д. 3, кв. 4</t>
  </si>
  <si>
    <t>ВСЕГО ЗА ГОД</t>
  </si>
  <si>
    <t>ПРИМЕЧАНИЕ:</t>
  </si>
  <si>
    <t>Приложение 7</t>
  </si>
  <si>
    <t>522 26 00</t>
  </si>
  <si>
    <t>Капитальные вложения в объекты дошкольного образования</t>
  </si>
  <si>
    <t>522 26 01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</si>
  <si>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</si>
  <si>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Иные безвозмездные и безвозвратные перечисления</t>
  </si>
  <si>
    <t>520 00 00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</si>
  <si>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</si>
  <si>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521 01 00</t>
  </si>
  <si>
    <t>Фонд софинансирования</t>
  </si>
  <si>
    <t>010</t>
  </si>
  <si>
    <t>Региональные целевые программы</t>
  </si>
  <si>
    <t>522 00 00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</si>
  <si>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</si>
  <si>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</si>
  <si>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</si>
  <si>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021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</si>
  <si>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</si>
  <si>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</si>
  <si>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</si>
  <si>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</si>
  <si>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</si>
  <si>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421 10 10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</si>
  <si>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</si>
  <si>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>421 10 12</t>
  </si>
  <si>
    <t xml:space="preserve">Социальные выплаты гражданам, кроме публичных нормативных социальных выплат </t>
  </si>
  <si>
    <t>320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</si>
  <si>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</si>
  <si>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421 10 13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</si>
  <si>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</si>
  <si>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</si>
  <si>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>422 10 10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</si>
  <si>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</si>
  <si>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>422 10 11</t>
  </si>
  <si>
    <t xml:space="preserve"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</t>
  </si>
  <si>
    <t>Иные субсидии</t>
  </si>
  <si>
    <t>522 34 05</t>
  </si>
  <si>
    <t>522 34 06</t>
  </si>
  <si>
    <t>345 01 00</t>
  </si>
  <si>
    <t>Субсидия на государственную поддержку малого предпринимательства, включая крестьянские (фермерские) хозяйства</t>
  </si>
  <si>
    <t>411</t>
  </si>
  <si>
    <t>Мероприятия в области коммунального хозяйства по развитию, реконструкции и замене инженерных сетей</t>
  </si>
  <si>
    <t>Субсидия на закупку учебного оборудования и мебели для муниципальных общеобразовательных учреждений</t>
  </si>
  <si>
    <t>Субсидия на закупку технологического оборудования для столовых и мебели для залов питания общеобразовательных учреждений муниципального образования</t>
  </si>
  <si>
    <t>Субсидии некоммерческим организациям за счет бюджета городского округа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</si>
  <si>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</si>
  <si>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Выплата единовременной материальной помощи гражданам пострадавшим от политических репрессий*</t>
  </si>
  <si>
    <t>505 86 08</t>
  </si>
  <si>
    <t>090 02 00</t>
  </si>
  <si>
    <t>017</t>
  </si>
  <si>
    <t>018</t>
  </si>
  <si>
    <t>020</t>
  </si>
  <si>
    <t>202 58 10</t>
  </si>
  <si>
    <t>Расходы на оплату труда гражданского персонала</t>
  </si>
  <si>
    <t>202 67 10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</si>
  <si>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</si>
  <si>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Отдельные мероприятия в области автомобильного транспорта </t>
  </si>
  <si>
    <t xml:space="preserve">Мероприятия в области строительства, архитектуры и градостроительства </t>
  </si>
  <si>
    <t>Федеральная целевая программа "Социальное развитие села до 2010г."</t>
  </si>
  <si>
    <t>Выполнение функций органами местного самоуправления (ремонт внутридворовых территорий)</t>
  </si>
  <si>
    <t>Мероприятия в области жилищного - хозяйства</t>
  </si>
  <si>
    <t xml:space="preserve">Коммунальное хозяйство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</si>
  <si>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</si>
  <si>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</si>
  <si>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</si>
  <si>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</si>
  <si>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Целевые программы муниципальных образований</t>
  </si>
  <si>
    <t>795 00 00</t>
  </si>
  <si>
    <t>Профилактика наркомании и токсикомании в городском округе Домодедово на 2007-2011 годы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</si>
  <si>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</si>
  <si>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</si>
  <si>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</si>
  <si>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НАЦИОНАЛЬНАЯ ЭКОНОМИКА</t>
  </si>
  <si>
    <t>Сельскохозяйственное производство</t>
  </si>
  <si>
    <t>260 00 00</t>
  </si>
  <si>
    <t>Животноводство</t>
  </si>
  <si>
    <t>335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</si>
  <si>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</si>
  <si>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</si>
  <si>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</si>
  <si>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</si>
  <si>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Субсидии юридическим лицам</t>
  </si>
  <si>
    <t>Субсидии некоммерческим организациям</t>
  </si>
  <si>
    <t>019</t>
  </si>
  <si>
    <t>Дорожное хозяйство</t>
  </si>
  <si>
    <t>315 00 00</t>
  </si>
  <si>
    <t>Отдельные мероприятия в области дорожного хозяйства</t>
  </si>
  <si>
    <t>365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</si>
  <si>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</si>
  <si>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</si>
  <si>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</si>
  <si>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</si>
  <si>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</si>
  <si>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</si>
  <si>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</si>
  <si>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</si>
  <si>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Содержание и управление дорожным хозяйством</t>
  </si>
  <si>
    <t>315 01 00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</si>
  <si>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</si>
  <si>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</si>
  <si>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</si>
  <si>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</si>
  <si>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 xml:space="preserve">*  объем средств, выделенных из резервного фонда, см. в предыдущем квартале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</si>
  <si>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</si>
  <si>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</si>
  <si>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</si>
  <si>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</si>
  <si>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</si>
  <si>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1 06 06012 04 0000 110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</si>
  <si>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</si>
  <si>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</si>
  <si>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</si>
  <si>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Безвозмездные перечисления организациям, за исключением государственных и муниципальных организаций</t>
  </si>
  <si>
    <t>Субсидии некоммерческим организациям (Строительство и разработка ПСД, ПИР второй очереди МАУ "ГС "Авангард")</t>
  </si>
  <si>
    <t>Другие вопросы в области образования</t>
  </si>
  <si>
    <t>Культура, кинематография</t>
  </si>
  <si>
    <t>0801</t>
  </si>
  <si>
    <t xml:space="preserve">Культура </t>
  </si>
  <si>
    <t>0802</t>
  </si>
  <si>
    <t>Кинематография</t>
  </si>
  <si>
    <t>0803</t>
  </si>
  <si>
    <t>0804</t>
  </si>
  <si>
    <t xml:space="preserve">Другие вопросы  в области культуры, кинематографии </t>
  </si>
  <si>
    <t>Здравоохранение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</si>
  <si>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</si>
  <si>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</si>
  <si>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</si>
  <si>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</si>
  <si>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</si>
  <si>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</si>
  <si>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</si>
  <si>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</si>
  <si>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</si>
  <si>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r>
      <t>Приложение №</t>
    </r>
    <r>
      <rPr>
        <u val="single"/>
        <sz val="10"/>
        <rFont val="Times New Roman Cyr"/>
        <family val="1"/>
      </rPr>
      <t xml:space="preserve">   5      </t>
    </r>
  </si>
  <si>
    <r>
      <t>Приложение №</t>
    </r>
    <r>
      <rPr>
        <u val="single"/>
        <sz val="10"/>
        <rFont val="Times New Roman Cyr"/>
        <family val="1"/>
      </rPr>
      <t xml:space="preserve">   6</t>
    </r>
  </si>
  <si>
    <t>505 86 14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</si>
  <si>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</si>
  <si>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</si>
  <si>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</si>
  <si>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Выплата единовременной материальной помощи гражданам, находящимся в трудной жизненной ситуации*</t>
  </si>
  <si>
    <t>Налог на доходы физ. лиц с доходов, облагаемых по налоговой ставке, установленной пунктом 1 статьи 224 Налогового кодекса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</si>
  <si>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</si>
  <si>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физ. лиц с доходов, облагаемых по налоговой ставке, установленной пунктом 1 статьи 224 Налогового кодекса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</si>
  <si>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1 08 07140 01 0000 110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</si>
  <si>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</si>
  <si>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Долгосрочная целевая программа Московской области "Развитие образования в Московской области на 2009-2012 годы"</t>
  </si>
  <si>
    <t>522 10 00</t>
  </si>
  <si>
    <t>Приобретение технологического оборудования  муниципальных общеобразовательных учреждений - победителей областного конкурса муниципальных  общеобразовательных учреждений в Московской области, разрабатывающих и внедряющих инновационные образовательные программы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</si>
  <si>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 общеобразовательных учреждений, разрабатывающих и внедряющих инновационные образовательные программы</t>
  </si>
  <si>
    <t>522 10 41</t>
  </si>
  <si>
    <t>Закупка товаров, работ и услуг для муниципальных нужд</t>
  </si>
  <si>
    <t>Подвоз учащихся к месту обучения в муниципальные общеобразовательные учреждения, расположенные в сельской местности</t>
  </si>
  <si>
    <t>522 10 42</t>
  </si>
  <si>
    <t>Программа "Развитие образования в городском округе Домодедово на 2011-2013 годы" (в школах)</t>
  </si>
  <si>
    <t>795 01 21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</si>
  <si>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</si>
  <si>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</si>
  <si>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</si>
  <si>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</si>
  <si>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</si>
  <si>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</si>
  <si>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 других бюджетов бюджетной системы Российской Федерации</t>
  </si>
  <si>
    <t>000 01 03 00 00 00 0000 700</t>
  </si>
  <si>
    <t>Целеввая субсидия на приобретение медицинской аппаратуры, средств измерений для оборудования медицинского кабинета МБОУ ДОД ДЮСШ "Олимп"</t>
  </si>
  <si>
    <t>Целеввая субсидия на приобретение оборудования и инвентаря</t>
  </si>
  <si>
    <t>Целевые субсидии автономным  учреждениям, в том числе: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</si>
  <si>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</si>
  <si>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Земельный налог (по обязательствам, возникшим до 1 января 2006 года),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</si>
  <si>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</si>
  <si>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РФ)</t>
  </si>
  <si>
    <t>1 09 06010 02 0000 110</t>
  </si>
  <si>
    <t>Налог с продаж</t>
  </si>
  <si>
    <t>1 09 07000 00 0000 110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</si>
  <si>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</si>
  <si>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</si>
  <si>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</si>
  <si>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</si>
  <si>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</si>
  <si>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</si>
  <si>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</si>
  <si>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</si>
  <si>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</si>
  <si>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</si>
  <si>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</si>
  <si>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</si>
  <si>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Уменьшение прочих остатков средств бюджетов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</si>
  <si>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</si>
  <si>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</si>
  <si>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</si>
  <si>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</si>
  <si>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</si>
  <si>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</si>
  <si>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</si>
  <si>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</si>
  <si>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</si>
  <si>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020 01 06 01 00 04 0000 630</t>
  </si>
  <si>
    <t>Средства от продажи акций и иных форм участия в капитале, находящихся в собственности городского округа</t>
  </si>
  <si>
    <t>000 01 06 04 00 00 0000 000</t>
  </si>
  <si>
    <t>Исполнение государственных и муниципальных гарантий в валюте Российской Федерации</t>
  </si>
  <si>
    <t>Муниципальная гарантия МУП "Теплосеть" закупка оборудования</t>
  </si>
  <si>
    <t>№3-30/208 от 19.07.2010</t>
  </si>
  <si>
    <t>15.07.13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</si>
  <si>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</si>
  <si>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350 03 00</t>
  </si>
  <si>
    <t>431 99 00</t>
  </si>
  <si>
    <t>1003</t>
  </si>
  <si>
    <t>102 01 02</t>
  </si>
  <si>
    <t>420 99 00</t>
  </si>
  <si>
    <t>421 99 00</t>
  </si>
  <si>
    <t xml:space="preserve">ИНФОРМАЦИЯ О РАСХОДОВАНИИ СРЕДСТВ </t>
  </si>
  <si>
    <t>РЕЗЕРВНОГО ФОНДА АДМИНИСТРАЦИИ ГОРОДСКОГО ОКРУГА ДОМОДЕДОВО</t>
  </si>
  <si>
    <t>КОСГУ</t>
  </si>
  <si>
    <t>000 00 00</t>
  </si>
  <si>
    <t>0400</t>
  </si>
  <si>
    <t>% исполнения к утвержденному плану</t>
  </si>
  <si>
    <t>% исполнения к уточненному плану</t>
  </si>
  <si>
    <t>к Решению Совета депутатов</t>
  </si>
  <si>
    <t>ОТЧЕТ</t>
  </si>
  <si>
    <t>600 04 00</t>
  </si>
  <si>
    <t>600 05 00</t>
  </si>
  <si>
    <t>410 01 00</t>
  </si>
  <si>
    <t>№ п/п</t>
  </si>
  <si>
    <t>I. Привлечение долговых обязательств</t>
  </si>
  <si>
    <t>Виды заимствований</t>
  </si>
  <si>
    <t>1.</t>
  </si>
  <si>
    <t>ИНФОРМАЦИЯ О ВЫПОЛНЕНИИ ПРОГРАММЫ МУНИЦИПАЛЬНЫХ ВНУТРЕННИХ ЗАИМСТВОВАНИЙ</t>
  </si>
  <si>
    <t>2.</t>
  </si>
  <si>
    <t>Наименование показателя</t>
  </si>
  <si>
    <t>000</t>
  </si>
  <si>
    <t>Коды классификации</t>
  </si>
  <si>
    <t>Процент исплнения</t>
  </si>
  <si>
    <t>0901</t>
  </si>
  <si>
    <t>Процентные платежи по долговым обязательствам</t>
  </si>
  <si>
    <t>065 00 00</t>
  </si>
  <si>
    <t>1 16 25030 01 0000 140</t>
  </si>
  <si>
    <t>Международное сотрудничество</t>
  </si>
  <si>
    <t>030 00 00</t>
  </si>
  <si>
    <t>Выполнение международных обязательств</t>
  </si>
  <si>
    <t>011</t>
  </si>
  <si>
    <t>Обслуживание государственного и муниципального долга</t>
  </si>
  <si>
    <t>11</t>
  </si>
  <si>
    <t>Мероприятия по организации оздоровительной компании детей и подростков</t>
  </si>
  <si>
    <t>Оздоровление детей и подростков</t>
  </si>
  <si>
    <t>ЗДРАВООХРАНЕНИЕ</t>
  </si>
  <si>
    <t>1020000</t>
  </si>
  <si>
    <t>1020102</t>
  </si>
  <si>
    <t xml:space="preserve">Бюджетные инвестиции  </t>
  </si>
  <si>
    <t>Бюджетные инвестиции  (Реконструкция приемного покоя ЦРБ)</t>
  </si>
  <si>
    <t>482</t>
  </si>
  <si>
    <t xml:space="preserve">Мероприятия в области здравоохранения </t>
  </si>
  <si>
    <t>795 11 03</t>
  </si>
  <si>
    <t>079</t>
  </si>
  <si>
    <t>Социальной помощи</t>
  </si>
  <si>
    <t xml:space="preserve">Обеспечение мер социальной поддержки ветеранов труда </t>
  </si>
  <si>
    <t>016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</si>
  <si>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</si>
  <si>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216</t>
  </si>
  <si>
    <t>Выполнение функций государственными органами</t>
  </si>
  <si>
    <t>Мероприятия в области спорта и физической культуры, туризма</t>
  </si>
  <si>
    <t>440 09 00</t>
  </si>
  <si>
    <t>Иные межбюджетные трансферты из бюджета МО бюджетам мун.образований за счет средств, перечисляемых из федерального бюджета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отцифровки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</si>
  <si>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</t>
  </si>
  <si>
    <t>Пособия и компенсации гражданам и иные социальные выплаты, кроме публичных нормативных обязательств</t>
  </si>
  <si>
    <t>321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</si>
  <si>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</si>
  <si>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</si>
  <si>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Обеспечение малоимущих граждан жилыми помещениями*</t>
  </si>
  <si>
    <t>Питание малоимущих граждан</t>
  </si>
  <si>
    <t>ДЕФИЦИТА  БЮДЖЕТА ГОРОДСКОГО ОКРУГА ЗА 2012 ГОД</t>
  </si>
  <si>
    <t>Процентная ставка в %</t>
  </si>
  <si>
    <t>06.04.12</t>
  </si>
  <si>
    <t>19.04.12</t>
  </si>
  <si>
    <t>03.05.13</t>
  </si>
  <si>
    <t>12.04.13</t>
  </si>
  <si>
    <t>15.06.12</t>
  </si>
  <si>
    <t>№3-30/2 от 
13.01.2012</t>
  </si>
  <si>
    <t>13.07.12</t>
  </si>
  <si>
    <t>№3-30/32 от
15.02.2012</t>
  </si>
  <si>
    <t>09.11.12</t>
  </si>
  <si>
    <t>№3-30/71 от 
15.03.2012</t>
  </si>
  <si>
    <t>14.09.12</t>
  </si>
  <si>
    <t>№3-30/93 от 
13.04.2012</t>
  </si>
  <si>
    <t>12.10.12</t>
  </si>
  <si>
    <t>№3-30/98 от
16.04.2012</t>
  </si>
  <si>
    <t>№3-30/113 от 
15.05.2012</t>
  </si>
  <si>
    <t>15.11.12</t>
  </si>
  <si>
    <t>№3-30/156 от
14.06.2012</t>
  </si>
  <si>
    <t>14.08.12</t>
  </si>
  <si>
    <t>№3-30/157 от
15.06.2012</t>
  </si>
  <si>
    <t>14.12.12</t>
  </si>
  <si>
    <t>Муниципальная гарантия МУП "Теплосеть" на энергоносители</t>
  </si>
  <si>
    <t>№3-30/161 от
21.06.2012</t>
  </si>
  <si>
    <t>31.12.13</t>
  </si>
  <si>
    <t>№3-30/196 от 
13.07.2012</t>
  </si>
  <si>
    <t>11.01.13</t>
  </si>
  <si>
    <t>№3-30/222 от
14.08.2012</t>
  </si>
  <si>
    <t>№3-30/226 от 
15.08.2012</t>
  </si>
  <si>
    <t>15.02.13</t>
  </si>
  <si>
    <t>№3-30/254 от
14.09.2012</t>
  </si>
  <si>
    <t>14.03.13</t>
  </si>
  <si>
    <t>№3-30/257 от
18.09.2012</t>
  </si>
  <si>
    <t>16.11.12</t>
  </si>
  <si>
    <t>№3-30/282 от 
15.10.2012</t>
  </si>
  <si>
    <t>14.06.13</t>
  </si>
  <si>
    <t>№3-30/294 от
09.11.2012</t>
  </si>
  <si>
    <t>09.01.13</t>
  </si>
  <si>
    <t xml:space="preserve">Оказание материальной помощи Макееву Алексею Николаевичу и Макеевой Людмиле Николаевне, пострадавшим в результате пожара по адресу: г. Домодедово, мкр. Востряково, ул. Северная, д. 5                                                                                                      </t>
  </si>
  <si>
    <t xml:space="preserve">Оказание материальной помощи Ухорцевой Ольге Юрьевне, пострадавшей в результате пожара по адресу: г. Домодедово, мкр. Востряково, ул. Клубная, д. 3                                                                                            </t>
  </si>
  <si>
    <t xml:space="preserve">Оказание материальной помощи Зайцеву Александру Викторовичу, пострадавшему в результате пожара по адресу: г. Домодедово, с. Ям, ул. Брестская, д. 15, кв. 2                                                                                                        </t>
  </si>
  <si>
    <t xml:space="preserve">Оказание материальной помощи Горобец Оксане Николаевне, пострадавшей в результате пожара по адресу: г. Домодедово, мкр.Востряково, ул. Вокзальная, д. 28                                                                                                        </t>
  </si>
  <si>
    <t xml:space="preserve">Оказание материальной помощи Горобец Ирине Николаевне, пострадавшей в результате пожара по адресу: г. Домодедово, мкр.Востряково, ул. Вокзальная, д. 28                                                                                                        </t>
  </si>
  <si>
    <t xml:space="preserve">Оказание материальной помощи Горобцу Александру Николаевичу, пострадавшему в результате пожара по адресу: г. Домодедово, мкр.Востряково, ул. Вокзальная, д. 28                                                                                                        </t>
  </si>
  <si>
    <t xml:space="preserve">Оказание материальной помощи Горобцу Николаю Ивановичу, пострадавшему в результате пожара по адресу: г. Домодедово, мкр.Востряково, ул. Вокзальная, д. 28                                                                                                        </t>
  </si>
  <si>
    <t>Профилактика преступлений и иных правонарушений на территории городского округа Домодедово на 2012-2014 годы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</si>
  <si>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</si>
  <si>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795 03 00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</si>
  <si>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</si>
  <si>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795 03 21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</si>
  <si>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</si>
  <si>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795 03 22</t>
  </si>
  <si>
    <t>Развитие образования в городском округе Домодедово на 2011-2013 годы</t>
  </si>
  <si>
    <t xml:space="preserve">Иные выплаты персоналу, за исключением фонда оплаты труда </t>
  </si>
  <si>
    <t xml:space="preserve">Закупка товаров, работ и услуг для муниципальных нужд </t>
  </si>
  <si>
    <t>795 01 01</t>
  </si>
  <si>
    <t>Целевые (иные) субсидии бюджетным учреждениям, в том числе: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</si>
  <si>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</si>
  <si>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431 10 02</t>
  </si>
  <si>
    <t>Целевые субсидии бюджетным учреждениям в том числе:</t>
  </si>
  <si>
    <t xml:space="preserve">Целевая субсидия на ремонт кровли в МБУ "МКЦ "Победа" </t>
  </si>
  <si>
    <t>Целевая субсидия на противопожарную пропитку, монтаж внутреннего пожарного водопровода и ремонт зданий МБУ "МКЦ "Победа"</t>
  </si>
  <si>
    <t xml:space="preserve">Целевая субсидия на составление сметной документации, монтаж тепловой завесы, установку напольного газового котла, установка кнопки тревожной сигнализации, технадзор на ремонт кровли </t>
  </si>
  <si>
    <t>Целевая субсидия на установка узлов учета коммунальных ресурсов</t>
  </si>
  <si>
    <t>Целевая субсидия на приобретение аппаратуры для МБУ "МКЦ "Победа"</t>
  </si>
  <si>
    <t>Целевая субсидия на ремонт и приобретение мебели в МБУ "МКЦ "Победа"</t>
  </si>
  <si>
    <t>Оздоровление детей за счет средств областного бюджета</t>
  </si>
  <si>
    <t>522 32 41</t>
  </si>
  <si>
    <t>Субсидии бюджетным учреждениям за счет средств местного бюджета</t>
  </si>
  <si>
    <t>Мероприятия по организации оздоровительной кампании детей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</si>
  <si>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</si>
  <si>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</si>
  <si>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Программа "Организация  отдыха, оздоровления и занятости детей и подростков в городском округе Домодедово на 2012-2014 годы"</t>
  </si>
  <si>
    <t>795 09 00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</si>
  <si>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</si>
  <si>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</si>
  <si>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</si>
  <si>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795 15 00</t>
  </si>
  <si>
    <t>Целевая субсидия на организацию и осуществление мероприятий в сфере молодежной политики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</si>
  <si>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</si>
  <si>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Субсидии некоммерческим организациям (за исключением муниципальных учреждений)</t>
  </si>
  <si>
    <t>630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</si>
  <si>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</si>
  <si>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421 10 19</t>
  </si>
  <si>
    <t>Мероприятия по проведению оздоровительной кампании детей (прочие расходы)</t>
  </si>
  <si>
    <t>432 30 04</t>
  </si>
  <si>
    <t>Внедрение современных образовательных технологий (оказание муниципальных услуг)</t>
  </si>
  <si>
    <t>436 10 03</t>
  </si>
  <si>
    <t>351 00 00</t>
  </si>
  <si>
    <t xml:space="preserve">Мероприятия в области коммунального хозяйства 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</si>
  <si>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</si>
  <si>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</si>
  <si>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795 11 08</t>
  </si>
  <si>
    <t>Субсидии юридическим лицам в том числе:</t>
  </si>
  <si>
    <t>Газификация д. Новлянское</t>
  </si>
  <si>
    <t>Газификация д. Скрипино</t>
  </si>
  <si>
    <t>Газификация с. Красный путь (ул.Лесная)</t>
  </si>
  <si>
    <t>600 00 00</t>
  </si>
  <si>
    <t>Уличное освещение</t>
  </si>
  <si>
    <t>600 01 00</t>
  </si>
  <si>
    <t>600 02 00</t>
  </si>
  <si>
    <t>&gt;200</t>
  </si>
  <si>
    <t>ГОРОДСКОГО ОКРУГА ДОМОДЕДОВО ЗА 2012 ГОД</t>
  </si>
  <si>
    <t>Объем привлечения средств в 2012 году (тыс.руб.)</t>
  </si>
  <si>
    <t>Итого общий объем привлечений в 2012 году</t>
  </si>
  <si>
    <t>Объем погашения в 2012 году       ( тыс.руб.)</t>
  </si>
  <si>
    <t>по формам долговых обязательств за 2012 год.</t>
  </si>
  <si>
    <t>из них причитается к погашению в 2012г.</t>
  </si>
  <si>
    <t>фактически погашено в 2012 году</t>
  </si>
  <si>
    <t>Долг по состоянию на 01.01.13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</si>
  <si>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</si>
  <si>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</si>
  <si>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водного законодательства</t>
  </si>
  <si>
    <t>1 16 25010 01 0000 140</t>
  </si>
  <si>
    <t>Денежные взыскания (штрафы) за нарушения законодательства о недрах</t>
  </si>
  <si>
    <t>Итого внутренних оборотов</t>
  </si>
  <si>
    <t>9800</t>
  </si>
  <si>
    <t>ВСЕГО РАСХОДОВ</t>
  </si>
  <si>
    <t>7900</t>
  </si>
  <si>
    <t>491 01 00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</si>
  <si>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</si>
  <si>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</si>
  <si>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>501</t>
  </si>
  <si>
    <t>500 00 00</t>
  </si>
  <si>
    <t>Администрация городского округа*</t>
  </si>
  <si>
    <t>Уточненный план</t>
  </si>
  <si>
    <t>Рз</t>
  </si>
  <si>
    <t>ПР</t>
  </si>
  <si>
    <t>ЦСР</t>
  </si>
  <si>
    <t>ВР</t>
  </si>
  <si>
    <t xml:space="preserve">ОБ ИСПОЛНЕНИИ БЮДЖЕТА ГОРОДСКОГО ОКРУГА ДОМОДЕДОВО </t>
  </si>
  <si>
    <t xml:space="preserve">Выполнение функций государственными органами </t>
  </si>
  <si>
    <t>012</t>
  </si>
  <si>
    <t>795 11 04</t>
  </si>
  <si>
    <t>795 11 11</t>
  </si>
  <si>
    <t>Информационные технологии и связь</t>
  </si>
  <si>
    <t>330 00 00</t>
  </si>
  <si>
    <t>330 99 00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</si>
  <si>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</si>
  <si>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</si>
  <si>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</si>
  <si>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</si>
  <si>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</si>
  <si>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405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</si>
  <si>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</si>
  <si>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</si>
  <si>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</si>
  <si>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</si>
  <si>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</si>
  <si>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Целевая субсидия на текущий ремонт и приобретение мебели в МБУ "МКЦ "Победа"</t>
  </si>
  <si>
    <t xml:space="preserve">КУЛЬТУРА, КИНЕМАТОГРАФИЯ </t>
  </si>
  <si>
    <t>Комплектование книжных фондов муниципальных образований</t>
  </si>
  <si>
    <t>Целевая субсидия на приобретение книг для МБУК "ЦБС"</t>
  </si>
  <si>
    <t xml:space="preserve">Целевая субсидия  на приобретение основных средств </t>
  </si>
  <si>
    <t>Целевая субсидия на устройство эвакуационного выхода в МАУ "СК "Атлант"</t>
  </si>
  <si>
    <t>Целевая субсидия на ремонт помещений МБУ "ЦФКС "Горизонт" и строительно-монтажных работ по ремонту кровли здания МБУ "ЦФКС "Горизонт"</t>
  </si>
  <si>
    <t>Бюджетные инвестиции  на приобретение основных средств автономным учреждениям</t>
  </si>
  <si>
    <t>042</t>
  </si>
  <si>
    <t xml:space="preserve">120 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</si>
  <si>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</si>
  <si>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Гражданский персонал</t>
  </si>
  <si>
    <t>Программа "Обеспечение безопасности дорожного движения на территории городского округа Домодедово на 2012-2015 годы"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</si>
  <si>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</si>
  <si>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</si>
  <si>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Бюджетные инвестиции (Строительство муниципальных многоквартирных жилых домов)</t>
  </si>
  <si>
    <t>Субсидия на капитальный ремонт подъездов</t>
  </si>
  <si>
    <t xml:space="preserve">795 19 00 </t>
  </si>
  <si>
    <t>Целевые субсидии на приобретение оборудования, элементов благоустройства, основных средств, вывоз несанкционированных свалок</t>
  </si>
  <si>
    <t xml:space="preserve">Федеральная целевая программа "Жилище" на 2011-2015 годы </t>
  </si>
  <si>
    <t>Иные выплаты населению</t>
  </si>
  <si>
    <t>360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</si>
  <si>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</si>
  <si>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520 15 00</t>
  </si>
  <si>
    <t>795 000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</si>
  <si>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</si>
  <si>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</si>
  <si>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</si>
  <si>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</si>
  <si>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</si>
  <si>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0601</t>
  </si>
  <si>
    <t>Экологический контроль</t>
  </si>
  <si>
    <t>Охрана объектов растительного и животного мира  и среды их обитания</t>
  </si>
  <si>
    <t>0605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</si>
  <si>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</si>
  <si>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</si>
  <si>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</si>
  <si>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</si>
  <si>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</si>
  <si>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</si>
  <si>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</si>
  <si>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</si>
  <si>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</si>
  <si>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</si>
  <si>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</si>
  <si>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профессиональное образование</t>
  </si>
  <si>
    <t>Молодежная политика и оздоровление детей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</si>
  <si>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</si>
  <si>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</si>
  <si>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</si>
  <si>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</si>
  <si>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</si>
  <si>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</si>
  <si>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</si>
  <si>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1 13 02000 00 0000 130</t>
  </si>
  <si>
    <t>Лицензионные сборы</t>
  </si>
  <si>
    <t>1 13 02020 00 0000 130</t>
  </si>
  <si>
    <t>Сборы за выдачу лицензий на розничную продажу алкогольной продукции</t>
  </si>
  <si>
    <t>1 13 02023 04 0000 130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</si>
  <si>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</si>
  <si>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1 13 02030 00 0000 130</t>
  </si>
  <si>
    <t>Прочие лицензионные сборы</t>
  </si>
  <si>
    <t>1 13 02034 01 0000 130</t>
  </si>
  <si>
    <t>Прочие сборы за выдачу лицензий органами управления городских округов</t>
  </si>
  <si>
    <t>1 14 00000 00 0000 000</t>
  </si>
  <si>
    <t>ДОХОДЫ ОТ ПРОДАЖИ МАТЕРИАЛЬНЫХ  И НЕМАТЕРИАЛЬНЫХ АКТИВОВ</t>
  </si>
  <si>
    <t>1 14 01000 00 0000 410</t>
  </si>
  <si>
    <t>Доходы от продажи квартир</t>
  </si>
  <si>
    <t>1 14 01040 04 0000 410</t>
  </si>
  <si>
    <t>Доходы 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</si>
  <si>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</si>
  <si>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</si>
  <si>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Целевая субсидия на проведение ремонта </t>
  </si>
  <si>
    <t>Программа "Развитие образования в городском округе Домодедово на 2011-2013 годы" (в школе-интернате)</t>
  </si>
  <si>
    <t>Целевая субсидия на приобретение медицинской аппаратуры, средств измерений для оборудования медицинского кабинета МБОУ ДОД ДЮСШ "Олимп"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</si>
  <si>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</si>
  <si>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</si>
  <si>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</si>
  <si>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</si>
  <si>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</si>
  <si>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</si>
  <si>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</si>
  <si>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Социальные выплаты гражданам, кроме публичных нормативных социальных выплат за счет средств областного бюджета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</si>
  <si>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</si>
  <si>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Целевая субсидия на приобретение оборудования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</si>
  <si>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</si>
  <si>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</si>
  <si>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</si>
  <si>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470 99 01</t>
  </si>
  <si>
    <t>Капитальный ремонт отделений круглосуточного стационара медико - санитарной части МБУЗ "ДЦГБ"</t>
  </si>
  <si>
    <t>470 99 02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</si>
  <si>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</si>
  <si>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</si>
  <si>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</si>
  <si>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471 20 05</t>
  </si>
  <si>
    <t>Субсидия бюджетным учреждениям</t>
  </si>
  <si>
    <t>Субсидия на организацию и осуществление мероприятий по работе с детьми и молодежью</t>
  </si>
  <si>
    <t>431 01 01</t>
  </si>
  <si>
    <t>432 02 00</t>
  </si>
  <si>
    <t>Непрограммные инвестиции в основные фонды</t>
  </si>
  <si>
    <t>Строительство объектов общегражданского назначения</t>
  </si>
  <si>
    <t>214</t>
  </si>
  <si>
    <t>Мероприятия в области образования</t>
  </si>
  <si>
    <t>436 00 00</t>
  </si>
  <si>
    <t>Государственная поддержка в сфере образования</t>
  </si>
  <si>
    <t>436 01 00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</si>
  <si>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</si>
  <si>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</si>
  <si>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Областная целевая программа "Развитие образования в Московской области на период 2006 - 2010 годов"</t>
  </si>
  <si>
    <t>Мероприятия в сфере образования</t>
  </si>
  <si>
    <t>022</t>
  </si>
  <si>
    <t>795 11 00</t>
  </si>
  <si>
    <t>Культура</t>
  </si>
  <si>
    <t xml:space="preserve">Дворцы и дома культуры, другие учреждения культуры 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</si>
  <si>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</si>
  <si>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</si>
  <si>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</si>
  <si>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</si>
  <si>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</si>
  <si>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</si>
  <si>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</si>
  <si>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</si>
  <si>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 xml:space="preserve">Мероприятия в сфере культуры и кинематографии </t>
  </si>
  <si>
    <t>450 00 00</t>
  </si>
  <si>
    <t>Комплектование книжных фондов библиотек городских округов</t>
  </si>
  <si>
    <t>450 06 01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</si>
  <si>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</si>
  <si>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</si>
  <si>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</si>
  <si>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</si>
  <si>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</si>
  <si>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</si>
  <si>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</si>
  <si>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Бюджетные инвестиции в объекты капитального строительства, не включенные в целевые программы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</si>
  <si>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</si>
  <si>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</si>
  <si>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</si>
  <si>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</si>
  <si>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Внедрение инновационных образовательных программ</t>
  </si>
  <si>
    <t>Школы - интернаты</t>
  </si>
  <si>
    <t>422 00 00</t>
  </si>
  <si>
    <t>422 99 00</t>
  </si>
  <si>
    <t>Учреждения по внешкольной работе с детьми</t>
  </si>
  <si>
    <t>423 00 00</t>
  </si>
  <si>
    <t>Детские дома</t>
  </si>
  <si>
    <t>424 00 00</t>
  </si>
  <si>
    <t>424 99 00</t>
  </si>
  <si>
    <t>Материальное обеспечение приемной семьи</t>
  </si>
  <si>
    <t>519 00 00</t>
  </si>
  <si>
    <t>422</t>
  </si>
  <si>
    <t>Государственная поддержка внедрения комплексных мер модернизации образования</t>
  </si>
  <si>
    <t>520 12 00</t>
  </si>
  <si>
    <t>Ежемесячное денежное вознаграждение за классное руководство</t>
  </si>
  <si>
    <t>520 09 00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</si>
  <si>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</si>
  <si>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</si>
  <si>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452 99 00</t>
  </si>
  <si>
    <t>429 99 00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</si>
  <si>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</si>
  <si>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Денежные взыскания (штрафы) за нарушение бюджетного законодательства РФ</t>
  </si>
  <si>
    <t>1 16 18040 04 0000 140</t>
  </si>
  <si>
    <t>Денежные взыскания (штрафы) за нарушение бюджетного законодательства  (в части  бюджетов городских округов)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</si>
  <si>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</si>
  <si>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</si>
  <si>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1 16 21040 04 0000 140</t>
  </si>
  <si>
    <t>Доплаты к пенсиям государственных служащих субъектов РФ и муниципальных служащих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</si>
  <si>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года"за счет средств перечисляемых из федерального бюджета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</si>
  <si>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</si>
  <si>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</si>
  <si>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</si>
  <si>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Обеспечение жильем граждан, уволенных с военной службы (службы) и приравненных к ним лиц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</si>
  <si>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</si>
  <si>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</si>
  <si>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</si>
  <si>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</si>
  <si>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</si>
  <si>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436 02 00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</si>
  <si>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</si>
  <si>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</si>
  <si>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</si>
  <si>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РФ и муниципальных образований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</si>
  <si>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</si>
  <si>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</si>
  <si>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</si>
  <si>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</si>
  <si>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2 02 03007 00 0000 151</t>
  </si>
  <si>
    <t>Субвенции бюджетам на составление (изменений и дополнение) списков кандидатов в присяжные заседатели федеральных судов общей юрисдикции в РФ</t>
  </si>
  <si>
    <t>2 02 03007 04 0000 151</t>
  </si>
  <si>
    <t>Субвенции бюджетам городских округов на составление (изменений и дополнение) списков кандидатов в присяжные заседатели федеральных судов общей юрисдикции в РФ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</si>
  <si>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</si>
  <si>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</si>
  <si>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</si>
  <si>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</si>
  <si>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</si>
  <si>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</si>
  <si>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</si>
  <si>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</si>
  <si>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2 02 03024 00 0000 151</t>
  </si>
  <si>
    <t>Субвенции местным бюджетам на выполнение передаваемых полномочий субъектов РФ</t>
  </si>
  <si>
    <t>2 02 03024 04 0000 151</t>
  </si>
  <si>
    <t>Субвенции бюджетам городских округов на выполнение передаваемых полномочий субъектов РФ</t>
  </si>
  <si>
    <t>2 02 03026 00 0000 151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</si>
  <si>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</si>
  <si>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Долгосрочная целевая программа Московской области  "Развитие сельского хозяйства Московской области на период 2009-2012 годов"</t>
  </si>
  <si>
    <t>Публичные нормативные социальные выплаты гражданам (приобретение школьной формы для детей из многодетных семей)*</t>
  </si>
  <si>
    <t>Программа "Социальная поддержка инвалидов городского округа Домодедово на 2011-2013 годы "</t>
  </si>
  <si>
    <t>795 04 00</t>
  </si>
  <si>
    <t xml:space="preserve">Иные закупки товаров, работ и услуг для муниципальных нужд (Оплата ежедневного бесплатного обеда малоимущим, одиноко проживающим гражданам, малообеспеченным инвалидам, состоящим на учете в Домодедовском управлении социальной защиты населения Министерства социальной защиты населения Московской областии </t>
  </si>
  <si>
    <t>Публичные нормативные социальные выплаты гражданам (Приобретение подъемников для инвалидов)*</t>
  </si>
  <si>
    <t>Программа "Обеспечение жильем молодых семей в гор. округе Домодедово на 2010-2012гг." *</t>
  </si>
  <si>
    <t>795 05 00</t>
  </si>
  <si>
    <t>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2010-2012 годы</t>
  </si>
  <si>
    <t>795 08 00</t>
  </si>
  <si>
    <t>505 21 02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</si>
  <si>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</si>
  <si>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520 10 10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</si>
  <si>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</si>
  <si>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</si>
  <si>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</si>
  <si>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</si>
  <si>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</si>
  <si>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</si>
  <si>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</si>
  <si>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</si>
  <si>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1 11 01040 04 0000 120</t>
  </si>
  <si>
    <t>1 11 03000 00 0000 120</t>
  </si>
  <si>
    <t>Проценты, полученные от предоставления бюджетных кредитов внутри страны</t>
  </si>
  <si>
    <t>1 11 03040 04 0000 120</t>
  </si>
  <si>
    <t>Проценты, полученные от предоставления бюджетных кредитов внутри страны за счет средств  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</si>
  <si>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</si>
  <si>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</si>
  <si>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</si>
  <si>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</si>
  <si>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</si>
  <si>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</si>
  <si>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</si>
  <si>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1 11 05024 04 0000 120</t>
  </si>
  <si>
    <t>Расходы на содержание и оьбеспечение деятельности полтклиник, амбулаторий, диагностических центров (прочие расходы)</t>
  </si>
  <si>
    <t>471 30 05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</si>
  <si>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</si>
  <si>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</si>
  <si>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471 99 01</t>
  </si>
  <si>
    <t>Субсидия на обеспечение системы ТАСУ в МБУЗ "Домодедовская городская детская  поликлиника" и МБУЗ "ДГСП"</t>
  </si>
  <si>
    <t>471 99 02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</si>
  <si>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</si>
  <si>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471 99 03</t>
  </si>
  <si>
    <t>Целевая субсидия на приобретение вакцины</t>
  </si>
  <si>
    <t>Расходы на содержание и обеспечение деятельности фельдшерско-акушерских пунктов (оказание муниципальных услуг)</t>
  </si>
  <si>
    <t>478 10 05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</si>
  <si>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</si>
  <si>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478 20 05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</si>
  <si>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</si>
  <si>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Целевая субсидия на обеспечение системы ТАСУ в МБУЗ "Домодедовская городская детская  поликлиника" и МБУЗ "ДГСП"</t>
  </si>
  <si>
    <t>Целевая субсидия на приобретение оборудования, оргтехники, инвентаря, капитальный ремонт помещений и зданий структурных подразделений здравоохранения</t>
  </si>
  <si>
    <t>Расходы на обеспечение деятельности больниц, клиник, госпиталей, медико-санитарных частей (оказание муниципальных услуг)</t>
  </si>
  <si>
    <t>522 09 14</t>
  </si>
  <si>
    <t>8 90 00000 00 0000 000</t>
  </si>
  <si>
    <t xml:space="preserve">                    ВСЕГО  ДОХОДОВ</t>
  </si>
  <si>
    <t>РАЗДЕЛ 2. Р А С Х О Д Ы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</si>
  <si>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</si>
  <si>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</si>
  <si>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</si>
  <si>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</si>
  <si>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</si>
  <si>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</si>
  <si>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</si>
  <si>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</si>
  <si>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</si>
  <si>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</si>
  <si>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</si>
  <si>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</si>
  <si>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</si>
  <si>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</si>
  <si>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</si>
  <si>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</si>
  <si>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</si>
  <si>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Прикладные и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</si>
  <si>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</si>
  <si>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</si>
  <si>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</si>
  <si>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</si>
  <si>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</si>
  <si>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</si>
  <si>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</si>
  <si>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</si>
  <si>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</si>
  <si>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</si>
  <si>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</si>
  <si>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1 01 02021 01 0000 110</t>
  </si>
  <si>
    <t>Управление  здравоохранения</t>
  </si>
  <si>
    <t>015</t>
  </si>
  <si>
    <t>1000</t>
  </si>
  <si>
    <t>0701</t>
  </si>
  <si>
    <t>0702</t>
  </si>
  <si>
    <t>Муниципальная гарантия МУП "Домодедовский комбинат питания" на пополнение оборотных средств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</si>
  <si>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</si>
  <si>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</si>
  <si>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Оказание материальной помощи Козловой Марине Николаевне, пострадавшей в результате пожара по адресу: г. Домодедово, мкр.Востряково, ул. Вокзальная, д. 28                                                                                                        </t>
  </si>
  <si>
    <t>Проведение топографо-геодезических работ для строительства пожарных депо в селах Ильинское и Вельяминово</t>
  </si>
  <si>
    <t>МКУ "УНП"</t>
  </si>
  <si>
    <t>Приобретение автошин для пожарного автомобиля войсковой части 52617</t>
  </si>
  <si>
    <t>Приобретение продуктов питания, средств личной гигиены и канцелярских товаров для организации проведения учений войсковой части 92574</t>
  </si>
  <si>
    <t>Приобретение подарков военнослужащим и гражданскому персоналу в связи с празднованием 35-летия войсковой части 52617</t>
  </si>
  <si>
    <t>Проектирование светофорного объекта в с. Вельяминово на пересечении дороги "Чепелево-Вельминово" с автродорогой областного значения "Шебанцево-Голубино-Глотаево"</t>
  </si>
  <si>
    <t>241 10 4</t>
  </si>
  <si>
    <t>Целевая субсидия МБУ "КБ" на ограждение радиоактивно загрязненной несанкционированной свалки в районе полигона ТБ и ПО "Щербинка"</t>
  </si>
  <si>
    <t>Оказание материальной помощи Медведеву Валерию Ивановичу, пострадавшему в результете взрыва неустановленного устройства по адресу: г. Домодедово, в/г Степыгино, д. 70, кв. 12</t>
  </si>
  <si>
    <t>Оказание материальной помощи Ташкулову Турабаю Джурабаевичу, пострадавшему в результете взрыва неустановленного устройства по адресу: г. Домодедово, в/г Степыгино, д. 70, кв. 10</t>
  </si>
  <si>
    <t>Оказание материальной помощи Игнатову Александру Ивановичу, пострадавшему в результете взрыва неустановленного устройства по адресу: г. Домодедово, в/г Степыгино, д. 70, кв. 11</t>
  </si>
  <si>
    <t>Оказание материальной помощи Вершинину Александру Викторовичу, пострадавшему в результете взрыва неустановленного устройства по адресу: г. Домодедово, в/г Степыгино, д. 70, кв. 15</t>
  </si>
  <si>
    <t>Оказание материальной помощи Елину Владимиру Викторовичу, пострадавшему в результете взрыва неустановленного устройства по адресу: г. Домодедово, в/г Степыгино, д. 70, кв. 14</t>
  </si>
  <si>
    <t>Оказание материальной помощи Калининой Ольге Юрьевне, пострадавшей в результете взрыва неустановленного устройства по адресу: г. Домодедово, в/г Степыгино, д. 70, кв. 13</t>
  </si>
  <si>
    <t xml:space="preserve">Оказание материальной помощи Сальникову Сергею Сергеевичу, пострадавшему в результате пожара по адресу: г. Домодедово, мкр. Белые Столбы, ул. Павлова, д. 1                                                                                                       </t>
  </si>
  <si>
    <t>Оказание помощи подшефной воинской части 6778, дислоцированной в Чеченской республике</t>
  </si>
  <si>
    <t>Приобретение цветов и подарков сотрудникам полиции УМВД России по городскому округу Домодедово в связи с празднованием "Дня сотрудника органов внутренних дел Российской Федерации"</t>
  </si>
  <si>
    <t>Приобретение подарков сотрудникам 1 отделения 7 МРО Управления ФСБ России по г. Москве и Московской области в связи с 95-летием образования органов государственной безопасности</t>
  </si>
  <si>
    <t>Приобретение подарков сотрудникам отряда пограничного контроля ФСБ России в международном аэропорту Домодедово в связи с празднованием "Дня сотрудника государственной и  национальной безопасности"</t>
  </si>
  <si>
    <t xml:space="preserve">Обеспечение набором продуктов питания первой необходимости пострадавших от пожара по адресу: г. Домодедово, с.Красный путь, ул. Парковая, д. 3 </t>
  </si>
  <si>
    <t>Софинансирование в размере 5% расходных обязательнств, предусмотренных на организацию мероприятий по благоустройству и озеленению территории городского округа Домодедово, закупку специализированной техники, средств малой механизации и оборудования для благоустройства и озеленения территории городского округа Домодедово</t>
  </si>
  <si>
    <t>Приобретение подарка в связи с празднованием 35-летия со дня образования МАДОУ детский сад комбинированного вида № 40 "Золотая рыбка"</t>
  </si>
  <si>
    <t>Приобретение подарка в связи с празднованием 50-летия со дня образования МАДОУ детский сад общеразвивающего вида № 17 "Заряночка"</t>
  </si>
  <si>
    <t xml:space="preserve">Приобретение подарка в связи с празднованием 40-летия со дня образования МАОУ Повадинская средняя общеобразовательная школа 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</si>
  <si>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</si>
  <si>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452 10 02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</si>
  <si>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</si>
  <si>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452 10 10</t>
  </si>
  <si>
    <t>Бюджетные инвестиции  на приобретение основных средств</t>
  </si>
  <si>
    <t>452 99 01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</si>
  <si>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</si>
  <si>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</si>
  <si>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Приобретение наглядных агитационных материалов</t>
  </si>
  <si>
    <t>КУЛЬТУРА,  КИНЕМАТОГРАФИЯ</t>
  </si>
  <si>
    <t>Комплектование книжных фондов библиотек муниципальных образований</t>
  </si>
  <si>
    <t>440 02 00</t>
  </si>
  <si>
    <t>Целевая субсидия на приобретение книжного фонда</t>
  </si>
  <si>
    <t>Целевая субсидия на установку узлов учета коммунальных ресурсов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</si>
  <si>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</si>
  <si>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 xml:space="preserve">Выполнение функций органами местного самоуправления </t>
  </si>
  <si>
    <t>03</t>
  </si>
  <si>
    <t>Центральный аппарат</t>
  </si>
  <si>
    <t xml:space="preserve">01 </t>
  </si>
  <si>
    <t>001 00 00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</si>
  <si>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</si>
  <si>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</si>
  <si>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</t>
  </si>
  <si>
    <t>Социальная помощь</t>
  </si>
  <si>
    <t>505 00 00</t>
  </si>
  <si>
    <t xml:space="preserve">Предоставление гражданам субсидий на оплату жилого помещения и коммунальных услуг </t>
  </si>
  <si>
    <t>505 48 02</t>
  </si>
  <si>
    <t>Целевая субсидия на проектирование канализации в городском парке культуры и отдыха "Елочки"</t>
  </si>
  <si>
    <t xml:space="preserve">от   23.04.2013       № 1-4/514 </t>
  </si>
  <si>
    <t xml:space="preserve">от  23.04.2013    №  1-4/514 </t>
  </si>
  <si>
    <t xml:space="preserve">от 23.04.2013  № 1-4/514   </t>
  </si>
  <si>
    <t xml:space="preserve">от  23.04.2013   № 1-4/514 </t>
  </si>
  <si>
    <t xml:space="preserve">от  23.04.2013   № 1-4/514  </t>
  </si>
  <si>
    <t xml:space="preserve">от 23.04.2013  № 1-4/514 </t>
  </si>
  <si>
    <t>Приобретение ценных подарков для поощрения военнослужащих Домодедовского гарнизона в связи с празднованием Дня зашитника Отечества</t>
  </si>
  <si>
    <t>Оплата оказания услуг по изготовлению кадастровых паспортов на объекты недвижимости (жилые помещения), расположенные по адресу: г. Домодедово, мкр. Западный, ул. Лунная, д. 21, переданные в муниципальную собственность</t>
  </si>
  <si>
    <t>Приобретение фотоаппарата в связи с празднованием 55-летия со дня образования МАОУ Домодедовская средняя общеобразовательная школа № 2</t>
  </si>
  <si>
    <t xml:space="preserve">Оказание материальной помощи Карпову Алексею Михайловичу, пострадавшему в результате пожара по адресу: г. Домодедово, мкр. Востряково, ул. Подольская, д. 15                                                                                                         </t>
  </si>
  <si>
    <t xml:space="preserve">Оказание материальной помощи Карпову Игорю Михайловичу, пострадавшему в результате пожара по адресу: г. Домодедово, мкр. Востряково, ул. Подольская, д. 15                                                                                                         </t>
  </si>
  <si>
    <t xml:space="preserve">Оказание материальной помощи Рыжикову Александру Николаевичу, пострадавшему в результате пожара по адресу: г. Домодедово, ул. Городская, д. 42                                                                                                        </t>
  </si>
  <si>
    <t>Единовременное премирование бывшего начальника Домодедовского ОВД Копылова Николая Михайловича в связи с заслугами в борьбе с уголовной преступностью в Домодедовском р-не и 90-летием со дня рождения</t>
  </si>
  <si>
    <t>Приобретение персонального компьютера для отдела УФМС России по Московской области по городскому округу Домодедово и ценных подарков для поощрения сотрудников отдела УФМС в связи с празднованием Дня работника Федеральной миграционной службы России</t>
  </si>
  <si>
    <t>Приобретение запасных частей и лакокрасочных материалов для служебного транспорта УМВД России по городскому округу Домодедово</t>
  </si>
  <si>
    <t>Приобретение пожарно-технического оснащения и оборудования</t>
  </si>
  <si>
    <t xml:space="preserve">315 01 04 </t>
  </si>
  <si>
    <t>Проведение первого этапа работ по восстановлению проезда по дамбе к д. Яковлевское, СНТ "Родник-4", СНТ "БОН-1", СНТ "Мечта", СНТ "Росинка"</t>
  </si>
  <si>
    <t>Итого по разделу 0400</t>
  </si>
  <si>
    <t>Оборудование площадки для забора воды пожарными автомобилями в мкр. Востряково</t>
  </si>
  <si>
    <t>Приобретение бункеров-накопителей для складирования и вывоза КГМ и ТБО в связи с проведением мероприятий по очистке водоемов на территории городского округа Домодедово</t>
  </si>
  <si>
    <t xml:space="preserve">Оказание материальной помощи Зайцевой Виктории Александровне, пострадавшей в результате пожара по адресу: г. Домодедово, с. Ям, ул. Брестская, д. 15, кв. 2                                                                                                        </t>
  </si>
  <si>
    <t xml:space="preserve">Оказание материальной помощи Зайцеву Антону Александровичу, пострадавшему в результате пожара по адресу: г. Домодедово, с. Ям, ул. Брестская, д. 15, кв. 2                                                                                                        </t>
  </si>
  <si>
    <t xml:space="preserve">Оказание материальной помощи Прасолову Михаилу Владимировичу , пострадавшему в результате пожара по адресу: г. Домодедово, д. Буняково, ул. Полевая, д. 45, кв. 5                                                                                                        </t>
  </si>
  <si>
    <t xml:space="preserve">Оказание материальной помощи Прасолову Владимиру Станиславовичу , пострадавшему в результате пожара по адресу: г. Домодедово, д. Буняково, ул. Полевая, д. 45, кв. 3                                                                                                       </t>
  </si>
  <si>
    <t xml:space="preserve">Оказание материальной помощи Петрову Александру Владимировичу , пострадавшему в результате пожара по адресу: г. Домодедово, д. Буняково, ул. Полевая, д. 45, кв. 4                                                                                                       </t>
  </si>
  <si>
    <t>Целевые субсидии бюджетным учреждениям</t>
  </si>
  <si>
    <t>612</t>
  </si>
  <si>
    <t>Обеспечение безопасности дорожного движения на территории городского округа Домодедово на 2012-2015 годы</t>
  </si>
  <si>
    <t>795 12 00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</si>
  <si>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</si>
  <si>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</si>
  <si>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</si>
  <si>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приобретение: оргтехники, вычислительной техники, оборудования, шкафов канцелярских</t>
  </si>
  <si>
    <t>Целевая субсидия МБУ "Регистр" на приобретение мебели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</si>
  <si>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</si>
  <si>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</si>
  <si>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Организационно-воспитательная работа с молодежью</t>
  </si>
  <si>
    <t>431 00 00</t>
  </si>
  <si>
    <t>431 01 00</t>
  </si>
  <si>
    <t>505 33 24</t>
  </si>
  <si>
    <t>505 48 03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</si>
  <si>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</si>
  <si>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2 02 03070 00 0000 151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</si>
  <si>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</si>
  <si>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</si>
  <si>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</si>
  <si>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</si>
  <si>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</si>
  <si>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</si>
  <si>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</si>
  <si>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</si>
  <si>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</si>
  <si>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</si>
  <si>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Дополнительные мероприятия по развитию жилищно-коммунального хозяйства и социально-культурной сферы</t>
  </si>
  <si>
    <t>520 15 01</t>
  </si>
  <si>
    <t>Целевая субсидия на капитальный ремонт квартир, выделенных под общежитие МБУЗ "ДЦГБ"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</si>
  <si>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</si>
  <si>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</si>
  <si>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Целевая  субсидия на приобретение основных средств</t>
  </si>
  <si>
    <t>Центры, станции и отделения переливания крови</t>
  </si>
  <si>
    <t>Целевая субсидия на возмещение разницы по денежной компенсации донорам на питание, за сданную кровь и ее компоненты</t>
  </si>
  <si>
    <t xml:space="preserve">Целевая субсидия на ремонт помещений и внутриинженерных коммуникаций 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</si>
  <si>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</si>
  <si>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442 30 20</t>
  </si>
  <si>
    <t>Субсидии бюджетным учреждениям на иные цели</t>
  </si>
  <si>
    <t>Целевая субсидия на софинансирование расходных обязательств на установку программного обеспечения и подключения муниципальных библиотек к информационно-коммуникационной сети "Интернет"</t>
  </si>
  <si>
    <t>442 99 03</t>
  </si>
  <si>
    <t>Целевая субсидия на приобретение оборудования и мебели</t>
  </si>
  <si>
    <t>Проведение мероприятий в сфере культуры и кинематографии</t>
  </si>
  <si>
    <t>Целевая субсидия на ремонт помещений и инженерных сетей МБУ "ЦКиД "Импульс"</t>
  </si>
  <si>
    <t>Целевая субсидия на ремонт кровли в Константиновском СДК МБУ "ЦКиД "Импульс"</t>
  </si>
  <si>
    <t>Приобретение книг для МБУК "ЦБС"</t>
  </si>
  <si>
    <t>Программа "Развитие культуры в городском округе Домодедово в 2012-2014 годы"</t>
  </si>
  <si>
    <t>795 13 00</t>
  </si>
  <si>
    <t>Целевая субсидия на мероприятия в сфере культуры</t>
  </si>
  <si>
    <t>Субсидия автономным учреждениям</t>
  </si>
  <si>
    <t>Целевая субсидия на аренду оборудования</t>
  </si>
  <si>
    <t>Другие вопросы в области культуры,  кинематографии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</si>
  <si>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</si>
  <si>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</si>
  <si>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>452 99 03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</si>
  <si>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</si>
  <si>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</si>
  <si>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Бюджетные инвестиции на строительство дошкольного образовательного учреждения «г. Домодедово, микрорайон Авиационный, улица Жуковского, детский сад на 190 мест с бассейном», расположенного по адресу: г. Домодедово, микрорайон Авиационный, улица Жуковского</t>
  </si>
  <si>
    <t>Реализация мероприятий по созданию новых мест в негосударственных дошкольных образовательных учреждениях</t>
  </si>
  <si>
    <t>522 26 43</t>
  </si>
  <si>
    <t>Программа "Развитие образования в городском округе Домодедово на 2011-2013 годы" (в детских садах)</t>
  </si>
  <si>
    <t>795 01 20</t>
  </si>
  <si>
    <t>Бюджетные инвестиции (Строительство дошкольных образовательных учреждений) в том числе:</t>
  </si>
  <si>
    <t>795 01 00</t>
  </si>
  <si>
    <t xml:space="preserve">Целевые (иные) субсидии бюджетным учреждениям, в том числе: </t>
  </si>
  <si>
    <t>Установка узла учета тепловой энергии и теплоносителя с разработкой ПСД, проведением пусконаладочных работ</t>
  </si>
  <si>
    <t>Текущий ремонт в муниципальных дошкольных образовательных учреждениях</t>
  </si>
  <si>
    <t xml:space="preserve">Целевые  субсидии автономным учреждениям, в том числе: </t>
  </si>
  <si>
    <t>Целевая субсидия на текущий ремонт  автономных  учреждений</t>
  </si>
  <si>
    <t>Целевая субсидия на приобретение мебели, оборудования и инвентаря</t>
  </si>
  <si>
    <t>Программа "Профилактика преступлений и иных правонарушений на территории городского округа Домодедово на 2012-2014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</si>
  <si>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</si>
  <si>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795 03 20</t>
  </si>
  <si>
    <t>Бюджетные инвестиции в объекты капитального строительства, собственности муниципальных образований,  в том числе:</t>
  </si>
  <si>
    <t xml:space="preserve">Бюджетные инвестиции в объекты капитального строительства, собственности муниципальных образований (Разработка ПСД, ПИР Белостолбовской ООШ) 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</si>
  <si>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</si>
  <si>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 xml:space="preserve">10 </t>
  </si>
  <si>
    <t>430 10 14</t>
  </si>
  <si>
    <t>Социальные выплаты гражданам, кроме публичных нормативных социальных выплат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</si>
  <si>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</si>
  <si>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</si>
  <si>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Публичные нормативные социальные выплаты гражданам</t>
  </si>
  <si>
    <t>310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</si>
  <si>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</si>
  <si>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</si>
  <si>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</si>
  <si>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</si>
  <si>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>Закупка, установка и настройка программного обеспечения для функционирования информационно-справочной службы</t>
  </si>
  <si>
    <t>Проведение работ по созданию системы защиты персональных данных многофункциональных центров</t>
  </si>
  <si>
    <t>Закупка компьютерного, серверного и программного обеспечения, оргтехники</t>
  </si>
  <si>
    <t>522 34 03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</si>
  <si>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</si>
  <si>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Иные закупки товаров, работ и услуг для муниципальных нужд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</si>
  <si>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</si>
  <si>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Долгосрочная целевая программа Московской области "Развитие субъектов малого и среднего предприниматеьства в Московской области на 2009-2012 годы"</t>
  </si>
  <si>
    <t>795 07 00</t>
  </si>
  <si>
    <t>Бюджетные инвестиции в объекты капитального строительства собственности муниципальных образований (Приобретение квартир по договору долевого строительства многоквартирного дома для переселения жителей из ветхого жилищного фонда)</t>
  </si>
  <si>
    <t>Закупка товаров, работ , услуг в целях капитального ремонта муниципального имущества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</si>
  <si>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</si>
  <si>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</si>
  <si>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</si>
  <si>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Программа "Капитальный ремонт многоквартирных домов городского округа Домодедово на 2012-2014 годы"</t>
  </si>
  <si>
    <t>795 14 00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</si>
  <si>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</si>
  <si>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</si>
  <si>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</si>
  <si>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</si>
  <si>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Субсидии юридическим лицам на газификацию жилых домов 1,2,3,4 ст. Повадино</t>
  </si>
  <si>
    <t>Целевые  субсидии автономным учреждениям, в том числе:</t>
  </si>
  <si>
    <t>Целевая субсидия на технологическое присоединение  детского сада на 120 мест в микрорайоне Востряково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</si>
  <si>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</si>
  <si>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</si>
  <si>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</si>
  <si>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Оплата расходов проезда к месту учебы и обратно отдельным категориям обучающихся в  школах - детских садах, школах начальных, неплных средних и средних</t>
  </si>
  <si>
    <t>Социальные выплаты гражданам, кроме публичных нормативных социальных выплат (оказание муниципальных услуг)</t>
  </si>
  <si>
    <t>Целевая субсидия на проведение ремонта в муниципальных бюджетных общеобразовательных учреждениях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</si>
  <si>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</si>
  <si>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>424 10 11</t>
  </si>
  <si>
    <t>Целевые субсидии автономным учреждениям</t>
  </si>
  <si>
    <t xml:space="preserve">Государственная поддержка внедрения комплексных мер модернизации образования </t>
  </si>
  <si>
    <t>Субсидии некоммерческим организациям за счет бюджета Московской области</t>
  </si>
  <si>
    <t>Выполнение функций бюджетными учреждениями</t>
  </si>
  <si>
    <t>Осуществление полномочий по подготовке проведения статистических переписей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</si>
  <si>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</si>
  <si>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</si>
  <si>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</si>
  <si>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</si>
  <si>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14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</si>
  <si>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</si>
  <si>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</si>
  <si>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</si>
  <si>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</si>
  <si>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</si>
  <si>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</si>
  <si>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</si>
  <si>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</si>
  <si>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</si>
  <si>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</si>
  <si>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</t>
  </si>
  <si>
    <t>014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</si>
  <si>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</si>
  <si>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</si>
  <si>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</si>
  <si>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</si>
  <si>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</si>
  <si>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</si>
  <si>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</si>
  <si>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</si>
  <si>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Дополнительные гарантии социальной защиты сотрудникам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</si>
  <si>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</si>
  <si>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</si>
  <si>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</si>
  <si>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</si>
  <si>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</si>
  <si>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</si>
  <si>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</si>
  <si>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</si>
  <si>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</si>
  <si>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10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</si>
  <si>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</si>
  <si>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</si>
  <si>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Расходы на содержание и обеспечение деятельности станций скорой и неотложной помощи (оказание муниципальных услуг)</t>
  </si>
  <si>
    <t>477 10 05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</si>
  <si>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</si>
  <si>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</si>
  <si>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</si>
  <si>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</si>
  <si>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477 99 01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</si>
  <si>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</si>
  <si>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</si>
  <si>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</si>
  <si>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</si>
  <si>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472 10 05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</si>
  <si>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</si>
  <si>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472 20 05</t>
  </si>
  <si>
    <t>Целевые (иные) субсидии  бюджетным учреждениям, в том числе:</t>
  </si>
  <si>
    <t>Средства на возмещение разницы по денежной компенсации донорам на питание, за сданную кровь и ее компоненты</t>
  </si>
  <si>
    <t>472 99 01</t>
  </si>
  <si>
    <t>Субсидия на приобретение оборудования</t>
  </si>
  <si>
    <t>Целевая субсидия на возмещение разницы по денежной компенсации донорам на питание, за сданную кровь и ее компоненты)</t>
  </si>
  <si>
    <t>Центральный аппарат (обеспечение полномочий в сфере здравоохранения)</t>
  </si>
  <si>
    <t>002 04 05</t>
  </si>
  <si>
    <t>020 00 03</t>
  </si>
  <si>
    <t>Приобретение земельных участков в мунципальную собственность</t>
  </si>
  <si>
    <t>Бюджетные инвестиции (Разработка ПСД, ПИР, строительство МБДОУ д/с № 23 "Золотой ключик" на 250 мест в мкр. Западный</t>
  </si>
  <si>
    <t>Целевые (иные) субсидии бюджетным учреждениям, в том числе</t>
  </si>
  <si>
    <t>Мероприятия для детей и молодежи</t>
  </si>
  <si>
    <t xml:space="preserve">Субсидия на софинансирование расходов по программе "Модернизация здравоохранения на 2011-2012 годы" </t>
  </si>
  <si>
    <t>Капитальный ремонт отделений круглосуточного стационара медико-санитарной части МБУЗ "ДЦГБ"</t>
  </si>
  <si>
    <t>Обеспечение деятельности подведомственных учреждений (Субвенция на обеспечение полноценным питанием беременных женщин, кормящих матерей, детей в возрасте до трех лет)*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</si>
  <si>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о цифровки</t>
  </si>
  <si>
    <t>2 02 04041 04 0000 151</t>
  </si>
  <si>
    <t>Межбюджетные трансферты, передаваемые бюджетам городских округов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о цифровки</t>
  </si>
  <si>
    <t>2 07 04000 04 0200 180</t>
  </si>
  <si>
    <t xml:space="preserve">Исполнение расходов бюджета городского округа Домодедово за 2012 год  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</si>
  <si>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</si>
  <si>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</si>
  <si>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</si>
  <si>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</si>
  <si>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Иные закупки товаров, работ, услуг для муниципальных нужд</t>
  </si>
  <si>
    <t>240</t>
  </si>
  <si>
    <t>Уплата прочих налогов, сборов и иных платежей</t>
  </si>
  <si>
    <t>852</t>
  </si>
  <si>
    <t>Уплата налога на имущество организаций и земельного налога</t>
  </si>
  <si>
    <t>002 95 00</t>
  </si>
  <si>
    <t>851</t>
  </si>
  <si>
    <t xml:space="preserve">Иные выплаты персоналу за исключением фонда оплаты труда 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</si>
  <si>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</si>
  <si>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831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</si>
  <si>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</si>
  <si>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</si>
  <si>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Отдельные мероприятия в области дорожного хозяйства (налог на имущество)</t>
  </si>
  <si>
    <t>3150106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</si>
  <si>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</si>
  <si>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</si>
  <si>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Исполнение бюджета городского округа в разрезе ведомственной</t>
  </si>
  <si>
    <r>
      <t>Приложение №</t>
    </r>
    <r>
      <rPr>
        <u val="single"/>
        <sz val="10"/>
        <rFont val="Times New Roman Cyr"/>
        <family val="1"/>
      </rPr>
      <t xml:space="preserve">   4   </t>
    </r>
  </si>
  <si>
    <r>
      <t>Приложение №</t>
    </r>
    <r>
      <rPr>
        <u val="single"/>
        <sz val="10"/>
        <rFont val="Times New Roman Cyr"/>
        <family val="1"/>
      </rPr>
      <t xml:space="preserve">   3   </t>
    </r>
  </si>
  <si>
    <t>Уточненный годовой объем резервного фонда</t>
  </si>
  <si>
    <t>Общий объем средств, выделенных из резервного фонда за отчетный период</t>
  </si>
  <si>
    <t>ФКР</t>
  </si>
  <si>
    <t>КЦСР</t>
  </si>
  <si>
    <t>КВР</t>
  </si>
  <si>
    <t>Направление расходования средств</t>
  </si>
  <si>
    <t>Наименование получателя средств</t>
  </si>
  <si>
    <t>310 20 4</t>
  </si>
  <si>
    <t>290 10 4</t>
  </si>
  <si>
    <t>0100</t>
  </si>
  <si>
    <t>Итого по разделу 0500</t>
  </si>
  <si>
    <t xml:space="preserve">ФАКТИЧЕСКИЕ ИСТОЧНИКИ  ВНУТРЕННЕГО ФИНАНСИРОВАНИЯ  </t>
  </si>
  <si>
    <t>Факт</t>
  </si>
  <si>
    <t>0112</t>
  </si>
  <si>
    <t>0300</t>
  </si>
  <si>
    <t>0309</t>
  </si>
  <si>
    <r>
      <t>Приложение №</t>
    </r>
    <r>
      <rPr>
        <u val="single"/>
        <sz val="10"/>
        <rFont val="Times New Roman Cyr"/>
        <family val="1"/>
      </rPr>
      <t xml:space="preserve">   2   </t>
    </r>
  </si>
  <si>
    <t>0603</t>
  </si>
  <si>
    <t>к утвержденному плану</t>
  </si>
  <si>
    <t>всего:</t>
  </si>
  <si>
    <t>к уточненному плану</t>
  </si>
  <si>
    <t>Наименование</t>
  </si>
  <si>
    <t>Код</t>
  </si>
  <si>
    <t>001</t>
  </si>
  <si>
    <t>003</t>
  </si>
  <si>
    <t>005</t>
  </si>
  <si>
    <t>006</t>
  </si>
  <si>
    <t>ВСЕГО ЗА 4 КВАРТАЛ</t>
  </si>
  <si>
    <t>Администрация городского округа</t>
  </si>
  <si>
    <t>002 04 00</t>
  </si>
  <si>
    <t>226 10 4</t>
  </si>
  <si>
    <t>340 10 4</t>
  </si>
  <si>
    <t>ВСЕГО ЗА 2 КВАРТАЛ</t>
  </si>
  <si>
    <t>0503</t>
  </si>
  <si>
    <t>262 10 4</t>
  </si>
  <si>
    <t>ВСЕГО ЗА 3 КВАРТАЛ</t>
  </si>
  <si>
    <t>ВСЕГО ЗА 9 МЕСЯЦЕВ</t>
  </si>
  <si>
    <t xml:space="preserve">Итого </t>
  </si>
  <si>
    <t>0900</t>
  </si>
  <si>
    <t>423 99 00</t>
  </si>
  <si>
    <t>Субсидии на организацию и осуществление мероприятий по работе с детьми и молодежью</t>
  </si>
  <si>
    <t>Бюджетные инвестиции на приобретение основных средств автономным учреждениям</t>
  </si>
  <si>
    <t>Субсидии юридическим лицам, в том числе:</t>
  </si>
  <si>
    <t>Субсидии юридическим лицам - НП "Посейдон"</t>
  </si>
  <si>
    <t>Получение бюджетных кредитов от  других бюджетов бюджетной системы Российской Федерации</t>
  </si>
  <si>
    <t>017 01 03 00 00 04 0000 710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</si>
  <si>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</si>
  <si>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000 01 03 00 00 00 0000 800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</si>
  <si>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</si>
  <si>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</si>
  <si>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</si>
  <si>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</si>
  <si>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</si>
  <si>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</si>
  <si>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</si>
  <si>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</si>
  <si>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2 02 03077 00 0000 151</t>
  </si>
  <si>
    <t>Субвенции бюджетам на приобретение жилья гражданам, уволенным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</si>
  <si>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</si>
  <si>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гражданам, уволенным с военной службы (службы), и приравненными к ним лицами</t>
  </si>
  <si>
    <t>2 02 04012 00 0000 151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</si>
  <si>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</si>
  <si>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</si>
  <si>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возникающих в результате решений, принятых органами власти другого уровня</t>
  </si>
  <si>
    <t>2 02 04999 00 0000 151</t>
  </si>
  <si>
    <t>Прочие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</si>
  <si>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</si>
  <si>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</si>
  <si>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№3-30/77 от 09.04.2010</t>
  </si>
  <si>
    <t>№3-30/86 от 26.04.2010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</si>
</sst>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#,##0.0_ ;\-#,##0.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mmm/yyyy"/>
    <numFmt numFmtId="172" formatCode="#,##0&quot;р.&quot;"/>
    <numFmt numFmtId="173" formatCode="#,##0_р_."/>
    <numFmt numFmtId="174" formatCode="#,##0.0_р_."/>
    <numFmt numFmtId="175" formatCode="#,##0.00_р_."/>
    <numFmt numFmtId="176" formatCode="_-* #,##0.0&quot;р.&quot;_-;\-* #,##0.0&quot;р.&quot;_-;_-* &quot;-&quot;?&quot;р.&quot;_-;_-@_-"/>
    <numFmt numFmtId="177" formatCode="0.00;[Red]0.00"/>
    <numFmt numFmtId="178" formatCode="#,##0.00;[Red]#,##0.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#,##0.000_р_.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##,###,###,###,###.00"/>
    <numFmt numFmtId="191" formatCode="d/m"/>
    <numFmt numFmtId="192" formatCode="d/m/yy"/>
    <numFmt numFmtId="193" formatCode="#,##0_ ;[Red]\-#,##0\ 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[$-FC19]d\ mmmm\ yyyy\ &quot;г.&quot;"/>
    <numFmt numFmtId="211" formatCode="dd/mm/yy;@"/>
    <numFmt numFmtId="212" formatCode="#,##0.0_ ;[Red]\-#,##0.0\ "/>
    <numFmt numFmtId="213" formatCode="#,##0.00_ ;\-#,##0.00\ "/>
    <numFmt numFmtId="214" formatCode="[$€-2]\ ###,000_);[Red]\([$€-2]\ ###,000\)"/>
    <numFmt numFmtId="215" formatCode="0.000"/>
    <numFmt numFmtId="216" formatCode="0.0000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2"/>
      <name val="Times New Roman Cyr"/>
      <family val="0"/>
    </font>
    <font>
      <u val="single"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 Cyr"/>
      <family val="1"/>
    </font>
    <font>
      <b/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sz val="12"/>
      <color indexed="8"/>
      <name val="Times New Roman Cyr"/>
      <family val="1"/>
    </font>
    <font>
      <b/>
      <sz val="10"/>
      <name val="Tahoma"/>
      <family val="0"/>
    </font>
    <font>
      <b/>
      <sz val="12"/>
      <color indexed="12"/>
      <name val="Times New Roman Cyr"/>
      <family val="1"/>
    </font>
    <font>
      <sz val="12"/>
      <color indexed="12"/>
      <name val="Times New Roman Cyr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color indexed="10"/>
      <name val="Times New Roman Cyr"/>
      <family val="1"/>
    </font>
    <font>
      <b/>
      <sz val="10"/>
      <name val="Arial Cyr"/>
      <family val="0"/>
    </font>
    <font>
      <sz val="14"/>
      <name val="Times New Roman Cyr"/>
      <family val="1"/>
    </font>
    <font>
      <sz val="10"/>
      <name val="Arial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name val="Tahoma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 Cyr"/>
      <family val="0"/>
    </font>
    <font>
      <sz val="10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0"/>
      <color indexed="12"/>
      <name val="Times New Roman Cyr"/>
      <family val="1"/>
    </font>
    <font>
      <vertAlign val="superscript"/>
      <sz val="9"/>
      <name val="Times New Roman Cyr"/>
      <family val="0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58"/>
      <name val="Times New Roman"/>
      <family val="1"/>
    </font>
    <font>
      <b/>
      <u val="single"/>
      <sz val="9"/>
      <name val="Times New Roman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0"/>
      <color indexed="12"/>
      <name val="Arial Cyr"/>
      <family val="0"/>
    </font>
    <font>
      <b/>
      <sz val="12"/>
      <color indexed="41"/>
      <name val="Times New Roman Cyr"/>
      <family val="1"/>
    </font>
    <font>
      <b/>
      <sz val="12"/>
      <color indexed="12"/>
      <name val="Arial Cyr"/>
      <family val="0"/>
    </font>
    <font>
      <sz val="10"/>
      <color indexed="21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1" fillId="21" borderId="7" applyNumberFormat="0" applyAlignment="0" applyProtection="0"/>
    <xf numFmtId="0" fontId="50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571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0" xfId="56" applyFont="1" applyFill="1" applyAlignment="1">
      <alignment horizontal="center" vertical="center"/>
      <protection/>
    </xf>
    <xf numFmtId="49" fontId="16" fillId="0" borderId="0" xfId="56" applyNumberFormat="1" applyFont="1" applyFill="1" applyAlignment="1">
      <alignment horizontal="center" vertical="center"/>
      <protection/>
    </xf>
    <xf numFmtId="3" fontId="16" fillId="0" borderId="0" xfId="56" applyNumberFormat="1" applyFont="1" applyFill="1" applyAlignment="1">
      <alignment horizontal="center"/>
      <protection/>
    </xf>
    <xf numFmtId="49" fontId="18" fillId="0" borderId="0" xfId="56" applyNumberFormat="1" applyFont="1" applyFill="1" applyProtection="1">
      <alignment/>
      <protection locked="0"/>
    </xf>
    <xf numFmtId="0" fontId="16" fillId="0" borderId="0" xfId="56" applyFont="1" applyFill="1">
      <alignment/>
      <protection/>
    </xf>
    <xf numFmtId="49" fontId="18" fillId="0" borderId="0" xfId="56" applyNumberFormat="1" applyFont="1" applyFill="1">
      <alignment/>
      <protection/>
    </xf>
    <xf numFmtId="0" fontId="14" fillId="0" borderId="0" xfId="56" applyFont="1" applyFill="1" applyBorder="1" applyAlignment="1">
      <alignment horizontal="center" vertical="center"/>
      <protection/>
    </xf>
    <xf numFmtId="0" fontId="0" fillId="0" borderId="0" xfId="56" applyFont="1" applyFill="1">
      <alignment/>
      <protection/>
    </xf>
    <xf numFmtId="0" fontId="9" fillId="0" borderId="0" xfId="0" applyFont="1" applyAlignment="1">
      <alignment/>
    </xf>
    <xf numFmtId="49" fontId="16" fillId="0" borderId="0" xfId="56" applyNumberFormat="1" applyFont="1" applyFill="1">
      <alignment/>
      <protection/>
    </xf>
    <xf numFmtId="0" fontId="11" fillId="0" borderId="11" xfId="56" applyFont="1" applyFill="1" applyBorder="1" applyAlignment="1">
      <alignment horizontal="center" vertical="center"/>
      <protection/>
    </xf>
    <xf numFmtId="49" fontId="11" fillId="0" borderId="10" xfId="56" applyNumberFormat="1" applyFont="1" applyFill="1" applyBorder="1" applyAlignment="1">
      <alignment horizontal="center" vertical="center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65" fontId="14" fillId="0" borderId="0" xfId="0" applyNumberFormat="1" applyFont="1" applyFill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vertical="top"/>
    </xf>
    <xf numFmtId="0" fontId="14" fillId="0" borderId="0" xfId="56" applyFont="1" applyFill="1" applyAlignment="1">
      <alignment/>
      <protection/>
    </xf>
    <xf numFmtId="0" fontId="1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 applyProtection="1">
      <alignment horizontal="center"/>
      <protection locked="0"/>
    </xf>
    <xf numFmtId="165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>
      <alignment/>
    </xf>
    <xf numFmtId="165" fontId="12" fillId="0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18" fillId="0" borderId="15" xfId="0" applyNumberFormat="1" applyFont="1" applyFill="1" applyBorder="1" applyAlignment="1" applyProtection="1">
      <alignment horizontal="center"/>
      <protection locked="0"/>
    </xf>
    <xf numFmtId="3" fontId="18" fillId="0" borderId="15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49" fontId="14" fillId="24" borderId="13" xfId="0" applyNumberFormat="1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25" borderId="13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12" fillId="4" borderId="21" xfId="56" applyFont="1" applyFill="1" applyBorder="1" applyAlignment="1" applyProtection="1">
      <alignment horizontal="left" vertical="center" wrapText="1"/>
      <protection hidden="1"/>
    </xf>
    <xf numFmtId="49" fontId="12" fillId="4" borderId="21" xfId="56" applyNumberFormat="1" applyFont="1" applyFill="1" applyBorder="1" applyAlignment="1" applyProtection="1">
      <alignment horizontal="center" vertical="center"/>
      <protection hidden="1"/>
    </xf>
    <xf numFmtId="165" fontId="14" fillId="4" borderId="21" xfId="56" applyNumberFormat="1" applyFont="1" applyFill="1" applyBorder="1" applyAlignment="1" applyProtection="1">
      <alignment horizontal="right" vertical="center"/>
      <protection hidden="1"/>
    </xf>
    <xf numFmtId="0" fontId="12" fillId="22" borderId="20" xfId="56" applyFont="1" applyFill="1" applyBorder="1" applyAlignment="1" applyProtection="1">
      <alignment horizontal="left" wrapText="1"/>
      <protection hidden="1"/>
    </xf>
    <xf numFmtId="49" fontId="13" fillId="22" borderId="20" xfId="56" applyNumberFormat="1" applyFont="1" applyFill="1" applyBorder="1" applyAlignment="1" applyProtection="1">
      <alignment horizontal="center" wrapText="1"/>
      <protection hidden="1"/>
    </xf>
    <xf numFmtId="165" fontId="14" fillId="22" borderId="20" xfId="56" applyNumberFormat="1" applyFont="1" applyFill="1" applyBorder="1" applyAlignment="1" applyProtection="1">
      <alignment horizontal="right"/>
      <protection hidden="1"/>
    </xf>
    <xf numFmtId="49" fontId="11" fillId="22" borderId="20" xfId="56" applyNumberFormat="1" applyFont="1" applyFill="1" applyBorder="1" applyAlignment="1" applyProtection="1">
      <alignment horizontal="center" wrapText="1"/>
      <protection hidden="1"/>
    </xf>
    <xf numFmtId="49" fontId="11" fillId="0" borderId="20" xfId="56" applyNumberFormat="1" applyFont="1" applyFill="1" applyBorder="1" applyAlignment="1" applyProtection="1">
      <alignment horizontal="center" wrapText="1"/>
      <protection hidden="1"/>
    </xf>
    <xf numFmtId="165" fontId="16" fillId="0" borderId="20" xfId="56" applyNumberFormat="1" applyFont="1" applyFill="1" applyBorder="1" applyAlignment="1" applyProtection="1">
      <alignment horizontal="right"/>
      <protection hidden="1"/>
    </xf>
    <xf numFmtId="49" fontId="11" fillId="0" borderId="20" xfId="56" applyNumberFormat="1" applyFont="1" applyFill="1" applyBorder="1" applyAlignment="1" applyProtection="1">
      <alignment horizontal="center" wrapText="1"/>
      <protection hidden="1"/>
    </xf>
    <xf numFmtId="0" fontId="10" fillId="0" borderId="20" xfId="56" applyFont="1" applyFill="1" applyBorder="1" applyAlignment="1" applyProtection="1">
      <alignment horizontal="left" vertical="center" wrapText="1"/>
      <protection hidden="1"/>
    </xf>
    <xf numFmtId="0" fontId="11" fillId="0" borderId="20" xfId="56" applyFont="1" applyFill="1" applyBorder="1" applyAlignment="1" applyProtection="1">
      <alignment horizontal="left" vertical="center" wrapText="1"/>
      <protection hidden="1"/>
    </xf>
    <xf numFmtId="0" fontId="18" fillId="0" borderId="20" xfId="56" applyFont="1" applyFill="1" applyBorder="1" applyAlignment="1" applyProtection="1">
      <alignment horizontal="left" vertical="center" wrapText="1"/>
      <protection hidden="1"/>
    </xf>
    <xf numFmtId="49" fontId="11" fillId="0" borderId="20" xfId="56" applyNumberFormat="1" applyFont="1" applyFill="1" applyBorder="1" applyAlignment="1" applyProtection="1">
      <alignment horizontal="left" wrapText="1"/>
      <protection hidden="1"/>
    </xf>
    <xf numFmtId="165" fontId="16" fillId="0" borderId="20" xfId="56" applyNumberFormat="1" applyFont="1" applyFill="1" applyBorder="1" applyAlignment="1" applyProtection="1">
      <alignment horizontal="right"/>
      <protection hidden="1"/>
    </xf>
    <xf numFmtId="0" fontId="13" fillId="0" borderId="20" xfId="56" applyFont="1" applyFill="1" applyBorder="1" applyAlignment="1" applyProtection="1">
      <alignment horizontal="left" vertical="center" wrapText="1"/>
      <protection hidden="1"/>
    </xf>
    <xf numFmtId="0" fontId="11" fillId="0" borderId="20" xfId="56" applyFont="1" applyFill="1" applyBorder="1" applyAlignment="1" applyProtection="1">
      <alignment horizontal="left" vertical="center" wrapText="1"/>
      <protection hidden="1"/>
    </xf>
    <xf numFmtId="0" fontId="10" fillId="0" borderId="20" xfId="56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wrapText="1"/>
      <protection hidden="1"/>
    </xf>
    <xf numFmtId="0" fontId="11" fillId="0" borderId="20" xfId="0" applyFont="1" applyFill="1" applyBorder="1" applyAlignment="1" applyProtection="1">
      <alignment wrapText="1"/>
      <protection hidden="1"/>
    </xf>
    <xf numFmtId="0" fontId="13" fillId="0" borderId="20" xfId="0" applyFont="1" applyFill="1" applyBorder="1" applyAlignment="1" applyProtection="1">
      <alignment wrapText="1"/>
      <protection hidden="1"/>
    </xf>
    <xf numFmtId="49" fontId="11" fillId="22" borderId="20" xfId="56" applyNumberFormat="1" applyFont="1" applyFill="1" applyBorder="1" applyAlignment="1" applyProtection="1">
      <alignment horizontal="center" wrapText="1"/>
      <protection hidden="1"/>
    </xf>
    <xf numFmtId="0" fontId="12" fillId="22" borderId="20" xfId="56" applyFont="1" applyFill="1" applyBorder="1" applyProtection="1">
      <alignment/>
      <protection hidden="1"/>
    </xf>
    <xf numFmtId="0" fontId="14" fillId="22" borderId="20" xfId="56" applyFont="1" applyFill="1" applyBorder="1" applyProtection="1">
      <alignment/>
      <protection hidden="1"/>
    </xf>
    <xf numFmtId="0" fontId="16" fillId="0" borderId="20" xfId="56" applyFont="1" applyFill="1" applyBorder="1" applyProtection="1">
      <alignment/>
      <protection hidden="1"/>
    </xf>
    <xf numFmtId="165" fontId="16" fillId="0" borderId="20" xfId="56" applyNumberFormat="1" applyFont="1" applyFill="1" applyBorder="1" applyProtection="1">
      <alignment/>
      <protection hidden="1"/>
    </xf>
    <xf numFmtId="49" fontId="11" fillId="0" borderId="20" xfId="56" applyNumberFormat="1" applyFont="1" applyFill="1" applyBorder="1" applyAlignment="1" applyProtection="1">
      <alignment horizontal="center" vertical="center" wrapText="1"/>
      <protection hidden="1"/>
    </xf>
    <xf numFmtId="49" fontId="13" fillId="0" borderId="20" xfId="56" applyNumberFormat="1" applyFont="1" applyFill="1" applyBorder="1" applyAlignment="1" applyProtection="1">
      <alignment horizontal="center" vertical="center" wrapText="1"/>
      <protection hidden="1"/>
    </xf>
    <xf numFmtId="49" fontId="13" fillId="0" borderId="20" xfId="56" applyNumberFormat="1" applyFont="1" applyFill="1" applyBorder="1" applyAlignment="1" applyProtection="1">
      <alignment horizontal="left" vertical="center" wrapText="1"/>
      <protection hidden="1"/>
    </xf>
    <xf numFmtId="165" fontId="16" fillId="0" borderId="20" xfId="56" applyNumberFormat="1" applyFont="1" applyFill="1" applyBorder="1" applyAlignment="1" applyProtection="1">
      <alignment horizontal="right" vertical="center"/>
      <protection hidden="1"/>
    </xf>
    <xf numFmtId="0" fontId="13" fillId="0" borderId="20" xfId="56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wrapText="1"/>
      <protection hidden="1"/>
    </xf>
    <xf numFmtId="0" fontId="11" fillId="0" borderId="20" xfId="0" applyFont="1" applyFill="1" applyBorder="1" applyAlignment="1" applyProtection="1">
      <alignment wrapText="1"/>
      <protection hidden="1"/>
    </xf>
    <xf numFmtId="49" fontId="11" fillId="0" borderId="20" xfId="56" applyNumberFormat="1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wrapText="1"/>
      <protection hidden="1"/>
    </xf>
    <xf numFmtId="0" fontId="11" fillId="0" borderId="20" xfId="56" applyFont="1" applyFill="1" applyBorder="1" applyAlignment="1" applyProtection="1">
      <alignment wrapText="1"/>
      <protection hidden="1"/>
    </xf>
    <xf numFmtId="0" fontId="11" fillId="0" borderId="20" xfId="0" applyFont="1" applyBorder="1" applyAlignment="1" applyProtection="1">
      <alignment horizontal="left" wrapText="1"/>
      <protection hidden="1"/>
    </xf>
    <xf numFmtId="0" fontId="13" fillId="0" borderId="20" xfId="0" applyFont="1" applyBorder="1" applyAlignment="1" applyProtection="1">
      <alignment horizontal="left" wrapText="1"/>
      <protection hidden="1"/>
    </xf>
    <xf numFmtId="0" fontId="18" fillId="0" borderId="20" xfId="56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Border="1" applyAlignment="1" applyProtection="1">
      <alignment horizontal="left" wrapText="1"/>
      <protection hidden="1"/>
    </xf>
    <xf numFmtId="49" fontId="13" fillId="0" borderId="20" xfId="56" applyNumberFormat="1" applyFont="1" applyFill="1" applyBorder="1" applyAlignment="1" applyProtection="1">
      <alignment horizontal="center" wrapText="1"/>
      <protection hidden="1"/>
    </xf>
    <xf numFmtId="49" fontId="10" fillId="0" borderId="20" xfId="56" applyNumberFormat="1" applyFont="1" applyFill="1" applyBorder="1" applyAlignment="1" applyProtection="1">
      <alignment horizontal="left" vertical="center" wrapText="1"/>
      <protection hidden="1"/>
    </xf>
    <xf numFmtId="3" fontId="12" fillId="0" borderId="13" xfId="0" applyNumberFormat="1" applyFont="1" applyFill="1" applyBorder="1" applyAlignment="1" applyProtection="1">
      <alignment horizontal="center"/>
      <protection locked="0"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49" fontId="12" fillId="0" borderId="13" xfId="0" applyNumberFormat="1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justify" vertical="top" wrapText="1"/>
      <protection hidden="1"/>
    </xf>
    <xf numFmtId="0" fontId="34" fillId="0" borderId="20" xfId="0" applyFont="1" applyBorder="1" applyAlignment="1" applyProtection="1">
      <alignment horizontal="justify" vertical="top" wrapText="1"/>
      <protection hidden="1"/>
    </xf>
    <xf numFmtId="0" fontId="6" fillId="0" borderId="20" xfId="0" applyFont="1" applyBorder="1" applyAlignment="1" applyProtection="1">
      <alignment horizontal="justify" vertical="top" wrapText="1"/>
      <protection hidden="1"/>
    </xf>
    <xf numFmtId="0" fontId="6" fillId="0" borderId="22" xfId="0" applyFont="1" applyFill="1" applyBorder="1" applyAlignment="1">
      <alignment horizontal="center" vertical="top" wrapText="1"/>
    </xf>
    <xf numFmtId="0" fontId="34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15" fillId="0" borderId="0" xfId="0" applyFont="1" applyFill="1" applyBorder="1" applyAlignment="1">
      <alignment/>
    </xf>
    <xf numFmtId="0" fontId="34" fillId="0" borderId="22" xfId="0" applyFont="1" applyBorder="1" applyAlignment="1" applyProtection="1">
      <alignment horizontal="justify" vertical="top" wrapText="1"/>
      <protection hidden="1"/>
    </xf>
    <xf numFmtId="0" fontId="11" fillId="0" borderId="0" xfId="56" applyFont="1" applyFill="1">
      <alignment/>
      <protection/>
    </xf>
    <xf numFmtId="3" fontId="11" fillId="0" borderId="13" xfId="56" applyNumberFormat="1" applyFont="1" applyFill="1" applyBorder="1" applyAlignment="1">
      <alignment horizontal="center" vertical="center" wrapText="1"/>
      <protection/>
    </xf>
    <xf numFmtId="0" fontId="35" fillId="0" borderId="0" xfId="56" applyFont="1" applyFill="1">
      <alignment/>
      <protection/>
    </xf>
    <xf numFmtId="0" fontId="36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3" fillId="0" borderId="0" xfId="56" applyFont="1" applyFill="1" applyAlignment="1">
      <alignment/>
      <protection/>
    </xf>
    <xf numFmtId="165" fontId="38" fillId="0" borderId="0" xfId="56" applyNumberFormat="1" applyFont="1" applyFill="1">
      <alignment/>
      <protection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0" xfId="54" applyFont="1" applyFill="1">
      <alignment/>
      <protection/>
    </xf>
    <xf numFmtId="0" fontId="18" fillId="0" borderId="0" xfId="54" applyFont="1" applyFill="1" applyAlignment="1">
      <alignment horizontal="left"/>
      <protection/>
    </xf>
    <xf numFmtId="0" fontId="18" fillId="0" borderId="0" xfId="54" applyFont="1" applyFill="1" applyAlignment="1">
      <alignment/>
      <protection/>
    </xf>
    <xf numFmtId="0" fontId="12" fillId="0" borderId="0" xfId="54" applyFont="1" applyFill="1">
      <alignment/>
      <protection/>
    </xf>
    <xf numFmtId="0" fontId="18" fillId="0" borderId="0" xfId="53" applyFont="1" applyFill="1">
      <alignment/>
      <protection/>
    </xf>
    <xf numFmtId="0" fontId="18" fillId="0" borderId="23" xfId="53" applyFont="1" applyFill="1" applyBorder="1" applyAlignment="1">
      <alignment horizontal="center" vertical="center" textRotation="90" wrapText="1"/>
      <protection/>
    </xf>
    <xf numFmtId="0" fontId="18" fillId="0" borderId="24" xfId="53" applyFont="1" applyFill="1" applyBorder="1" applyAlignment="1">
      <alignment horizontal="center" vertical="center" textRotation="90" wrapText="1"/>
      <protection/>
    </xf>
    <xf numFmtId="0" fontId="18" fillId="0" borderId="25" xfId="53" applyFont="1" applyFill="1" applyBorder="1" applyAlignment="1">
      <alignment horizontal="center"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Fill="1" applyBorder="1" applyAlignment="1">
      <alignment wrapText="1"/>
      <protection/>
    </xf>
    <xf numFmtId="0" fontId="18" fillId="0" borderId="13" xfId="53" applyFont="1" applyFill="1" applyBorder="1" applyAlignment="1">
      <alignment horizontal="center" vertical="top"/>
      <protection/>
    </xf>
    <xf numFmtId="0" fontId="18" fillId="0" borderId="13" xfId="53" applyFont="1" applyFill="1" applyBorder="1" applyAlignment="1">
      <alignment vertical="top" wrapText="1"/>
      <protection/>
    </xf>
    <xf numFmtId="3" fontId="18" fillId="0" borderId="13" xfId="53" applyNumberFormat="1" applyFont="1" applyFill="1" applyBorder="1" applyAlignment="1">
      <alignment horizontal="right" vertical="top"/>
      <protection/>
    </xf>
    <xf numFmtId="14" fontId="18" fillId="0" borderId="13" xfId="53" applyNumberFormat="1" applyFont="1" applyFill="1" applyBorder="1" applyAlignment="1">
      <alignment vertical="top"/>
      <protection/>
    </xf>
    <xf numFmtId="3" fontId="25" fillId="0" borderId="13" xfId="53" applyNumberFormat="1" applyFont="1" applyFill="1" applyBorder="1" applyAlignment="1">
      <alignment horizontal="right" vertical="top"/>
      <protection/>
    </xf>
    <xf numFmtId="0" fontId="18" fillId="0" borderId="13" xfId="53" applyFont="1" applyFill="1" applyBorder="1">
      <alignment/>
      <protection/>
    </xf>
    <xf numFmtId="0" fontId="12" fillId="0" borderId="13" xfId="53" applyFont="1" applyFill="1" applyBorder="1">
      <alignment/>
      <protection/>
    </xf>
    <xf numFmtId="3" fontId="12" fillId="0" borderId="13" xfId="53" applyNumberFormat="1" applyFont="1" applyFill="1" applyBorder="1" applyAlignment="1">
      <alignment horizontal="right"/>
      <protection/>
    </xf>
    <xf numFmtId="0" fontId="20" fillId="0" borderId="0" xfId="54" applyFont="1" applyFill="1">
      <alignment/>
      <protection/>
    </xf>
    <xf numFmtId="0" fontId="40" fillId="0" borderId="0" xfId="55" applyFill="1">
      <alignment/>
      <protection/>
    </xf>
    <xf numFmtId="49" fontId="18" fillId="0" borderId="13" xfId="53" applyNumberFormat="1" applyFont="1" applyFill="1" applyBorder="1" applyAlignment="1">
      <alignment horizontal="center" vertical="top" wrapText="1"/>
      <protection/>
    </xf>
    <xf numFmtId="0" fontId="40" fillId="25" borderId="0" xfId="55" applyFill="1">
      <alignment/>
      <protection/>
    </xf>
    <xf numFmtId="0" fontId="40" fillId="20" borderId="0" xfId="55" applyFill="1">
      <alignment/>
      <protection/>
    </xf>
    <xf numFmtId="0" fontId="40" fillId="0" borderId="13" xfId="55" applyFill="1" applyBorder="1">
      <alignment/>
      <protection/>
    </xf>
    <xf numFmtId="3" fontId="12" fillId="0" borderId="13" xfId="53" applyNumberFormat="1" applyFont="1" applyFill="1" applyBorder="1" applyAlignment="1">
      <alignment horizontal="right" vertical="top"/>
      <protection/>
    </xf>
    <xf numFmtId="165" fontId="16" fillId="0" borderId="20" xfId="0" applyNumberFormat="1" applyFont="1" applyFill="1" applyBorder="1" applyAlignment="1" applyProtection="1">
      <alignment horizontal="right"/>
      <protection hidden="1"/>
    </xf>
    <xf numFmtId="165" fontId="33" fillId="0" borderId="20" xfId="0" applyNumberFormat="1" applyFont="1" applyFill="1" applyBorder="1" applyAlignment="1" applyProtection="1">
      <alignment horizontal="right"/>
      <protection hidden="1"/>
    </xf>
    <xf numFmtId="49" fontId="13" fillId="0" borderId="20" xfId="56" applyNumberFormat="1" applyFont="1" applyFill="1" applyBorder="1" applyAlignment="1" applyProtection="1">
      <alignment horizontal="center" vertical="center"/>
      <protection hidden="1"/>
    </xf>
    <xf numFmtId="49" fontId="37" fillId="0" borderId="20" xfId="56" applyNumberFormat="1" applyFont="1" applyFill="1" applyBorder="1" applyAlignment="1" applyProtection="1">
      <alignment horizontal="center" wrapText="1"/>
      <protection hidden="1"/>
    </xf>
    <xf numFmtId="49" fontId="11" fillId="0" borderId="2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56" applyFont="1" applyFill="1" applyBorder="1" applyAlignment="1" applyProtection="1">
      <alignment horizontal="left" vertical="center" wrapText="1"/>
      <protection hidden="1"/>
    </xf>
    <xf numFmtId="49" fontId="13" fillId="0" borderId="20" xfId="56" applyNumberFormat="1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left" wrapText="1"/>
      <protection hidden="1"/>
    </xf>
    <xf numFmtId="165" fontId="14" fillId="0" borderId="20" xfId="56" applyNumberFormat="1" applyFont="1" applyFill="1" applyBorder="1" applyAlignment="1" applyProtection="1">
      <alignment horizontal="right"/>
      <protection hidden="1"/>
    </xf>
    <xf numFmtId="4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3" fontId="16" fillId="24" borderId="13" xfId="0" applyNumberFormat="1" applyFont="1" applyFill="1" applyBorder="1" applyAlignment="1">
      <alignment vertical="center"/>
    </xf>
    <xf numFmtId="4" fontId="14" fillId="24" borderId="13" xfId="0" applyNumberFormat="1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49" fontId="14" fillId="24" borderId="13" xfId="0" applyNumberFormat="1" applyFont="1" applyFill="1" applyBorder="1" applyAlignment="1">
      <alignment horizontal="center" vertical="center" wrapText="1"/>
    </xf>
    <xf numFmtId="213" fontId="14" fillId="24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213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9" fontId="16" fillId="0" borderId="20" xfId="56" applyNumberFormat="1" applyFont="1" applyFill="1" applyBorder="1" applyAlignment="1" applyProtection="1">
      <alignment horizontal="center" vertical="center"/>
      <protection hidden="1"/>
    </xf>
    <xf numFmtId="165" fontId="16" fillId="0" borderId="20" xfId="56" applyNumberFormat="1" applyFont="1" applyFill="1" applyBorder="1">
      <alignment/>
      <protection/>
    </xf>
    <xf numFmtId="166" fontId="14" fillId="22" borderId="20" xfId="56" applyNumberFormat="1" applyFont="1" applyFill="1" applyBorder="1" applyAlignment="1">
      <alignment horizontal="right"/>
      <protection/>
    </xf>
    <xf numFmtId="166" fontId="16" fillId="0" borderId="20" xfId="56" applyNumberFormat="1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horizontal="right" vertical="center"/>
      <protection/>
    </xf>
    <xf numFmtId="166" fontId="14" fillId="4" borderId="26" xfId="56" applyNumberFormat="1" applyFont="1" applyFill="1" applyBorder="1" applyAlignment="1">
      <alignment horizontal="right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12" fontId="18" fillId="0" borderId="27" xfId="56" applyNumberFormat="1" applyFont="1" applyFill="1" applyBorder="1" applyAlignment="1">
      <alignment horizontal="right" vertical="center"/>
      <protection/>
    </xf>
    <xf numFmtId="212" fontId="25" fillId="0" borderId="20" xfId="0" applyNumberFormat="1" applyFont="1" applyFill="1" applyBorder="1" applyAlignment="1">
      <alignment/>
    </xf>
    <xf numFmtId="212" fontId="18" fillId="0" borderId="20" xfId="0" applyNumberFormat="1" applyFont="1" applyFill="1" applyBorder="1" applyAlignment="1">
      <alignment/>
    </xf>
    <xf numFmtId="212" fontId="25" fillId="0" borderId="20" xfId="0" applyNumberFormat="1" applyFont="1" applyFill="1" applyBorder="1" applyAlignment="1" applyProtection="1">
      <alignment/>
      <protection locked="0"/>
    </xf>
    <xf numFmtId="212" fontId="18" fillId="0" borderId="20" xfId="0" applyNumberFormat="1" applyFont="1" applyFill="1" applyBorder="1" applyAlignment="1" applyProtection="1">
      <alignment/>
      <protection locked="0"/>
    </xf>
    <xf numFmtId="212" fontId="18" fillId="26" borderId="27" xfId="56" applyNumberFormat="1" applyFont="1" applyFill="1" applyBorder="1" applyAlignment="1">
      <alignment horizontal="right" vertical="center"/>
      <protection/>
    </xf>
    <xf numFmtId="0" fontId="12" fillId="0" borderId="13" xfId="0" applyFont="1" applyFill="1" applyBorder="1" applyAlignment="1">
      <alignment/>
    </xf>
    <xf numFmtId="49" fontId="3" fillId="25" borderId="13" xfId="0" applyNumberFormat="1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25" borderId="13" xfId="0" applyFont="1" applyFill="1" applyBorder="1" applyAlignment="1" applyProtection="1">
      <alignment vertical="center" wrapText="1"/>
      <protection hidden="1"/>
    </xf>
    <xf numFmtId="49" fontId="6" fillId="0" borderId="13" xfId="0" applyNumberFormat="1" applyFont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8" fillId="25" borderId="13" xfId="0" applyFont="1" applyFill="1" applyBorder="1" applyAlignment="1">
      <alignment vertical="center" wrapText="1"/>
    </xf>
    <xf numFmtId="49" fontId="8" fillId="25" borderId="25" xfId="0" applyNumberFormat="1" applyFont="1" applyFill="1" applyBorder="1" applyAlignment="1">
      <alignment horizontal="center" vertical="center" wrapText="1"/>
    </xf>
    <xf numFmtId="49" fontId="8" fillId="25" borderId="13" xfId="0" applyNumberFormat="1" applyFont="1" applyFill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 applyProtection="1">
      <alignment horizontal="justify" vertical="center" wrapText="1"/>
      <protection hidden="1"/>
    </xf>
    <xf numFmtId="0" fontId="23" fillId="0" borderId="13" xfId="0" applyFont="1" applyBorder="1" applyAlignment="1" applyProtection="1">
      <alignment horizontal="justify" vertical="center" wrapText="1"/>
      <protection hidden="1"/>
    </xf>
    <xf numFmtId="0" fontId="24" fillId="0" borderId="13" xfId="0" applyFont="1" applyBorder="1" applyAlignment="1" applyProtection="1">
      <alignment horizontal="justify" vertical="center" wrapText="1"/>
      <protection hidden="1"/>
    </xf>
    <xf numFmtId="0" fontId="6" fillId="0" borderId="13" xfId="0" applyFont="1" applyBorder="1" applyAlignment="1" applyProtection="1">
      <alignment horizontal="justify" vertical="center" wrapText="1"/>
      <protection hidden="1"/>
    </xf>
    <xf numFmtId="0" fontId="8" fillId="0" borderId="13" xfId="0" applyFont="1" applyBorder="1" applyAlignment="1" applyProtection="1">
      <alignment horizontal="justify" vertical="center" wrapText="1"/>
      <protection hidden="1"/>
    </xf>
    <xf numFmtId="0" fontId="34" fillId="0" borderId="13" xfId="0" applyFont="1" applyBorder="1" applyAlignment="1" applyProtection="1">
      <alignment horizontal="justify" vertical="center" wrapText="1"/>
      <protection hidden="1"/>
    </xf>
    <xf numFmtId="0" fontId="6" fillId="0" borderId="13" xfId="0" applyFont="1" applyBorder="1" applyAlignment="1" applyProtection="1">
      <alignment horizontal="justify" vertical="center" wrapText="1"/>
      <protection hidden="1"/>
    </xf>
    <xf numFmtId="0" fontId="23" fillId="0" borderId="13" xfId="0" applyFont="1" applyBorder="1" applyAlignment="1" applyProtection="1">
      <alignment horizontal="justify" vertical="center" wrapText="1"/>
      <protection hidden="1"/>
    </xf>
    <xf numFmtId="0" fontId="26" fillId="0" borderId="13" xfId="0" applyFont="1" applyBorder="1" applyAlignment="1" applyProtection="1">
      <alignment vertical="center" wrapText="1"/>
      <protection hidden="1"/>
    </xf>
    <xf numFmtId="0" fontId="34" fillId="0" borderId="13" xfId="0" applyFont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6" fillId="0" borderId="28" xfId="0" applyFont="1" applyBorder="1" applyAlignment="1" applyProtection="1">
      <alignment vertical="center" wrapText="1"/>
      <protection hidden="1"/>
    </xf>
    <xf numFmtId="0" fontId="8" fillId="25" borderId="14" xfId="0" applyFont="1" applyFill="1" applyBorder="1" applyAlignment="1">
      <alignment vertical="center" wrapText="1"/>
    </xf>
    <xf numFmtId="165" fontId="32" fillId="0" borderId="20" xfId="56" applyNumberFormat="1" applyFont="1" applyFill="1" applyBorder="1" applyAlignment="1" applyProtection="1">
      <alignment horizontal="right" vertical="center"/>
      <protection hidden="1"/>
    </xf>
    <xf numFmtId="165" fontId="33" fillId="0" borderId="20" xfId="56" applyNumberFormat="1" applyFont="1" applyFill="1" applyBorder="1" applyAlignment="1" applyProtection="1">
      <alignment horizontal="right"/>
      <protection hidden="1"/>
    </xf>
    <xf numFmtId="165" fontId="32" fillId="0" borderId="20" xfId="56" applyNumberFormat="1" applyFont="1" applyFill="1" applyBorder="1" applyAlignment="1" applyProtection="1">
      <alignment horizontal="right"/>
      <protection hidden="1"/>
    </xf>
    <xf numFmtId="165" fontId="32" fillId="0" borderId="20" xfId="56" applyNumberFormat="1" applyFont="1" applyFill="1" applyBorder="1" applyAlignment="1" applyProtection="1">
      <alignment horizontal="right"/>
      <protection hidden="1"/>
    </xf>
    <xf numFmtId="165" fontId="33" fillId="0" borderId="20" xfId="56" applyNumberFormat="1" applyFont="1" applyFill="1" applyBorder="1" applyAlignment="1" applyProtection="1">
      <alignment horizontal="right" vertical="center"/>
      <protection hidden="1"/>
    </xf>
    <xf numFmtId="165" fontId="16" fillId="0" borderId="20" xfId="56" applyNumberFormat="1" applyFont="1" applyFill="1" applyBorder="1" applyAlignment="1" applyProtection="1">
      <alignment horizontal="right" vertical="center"/>
      <protection hidden="1"/>
    </xf>
    <xf numFmtId="165" fontId="30" fillId="0" borderId="20" xfId="56" applyNumberFormat="1" applyFont="1" applyFill="1" applyBorder="1" applyAlignment="1" applyProtection="1">
      <alignment horizontal="right"/>
      <protection hidden="1"/>
    </xf>
    <xf numFmtId="165" fontId="16" fillId="25" borderId="20" xfId="56" applyNumberFormat="1" applyFont="1" applyFill="1" applyBorder="1" applyAlignment="1" applyProtection="1">
      <alignment horizontal="right"/>
      <protection hidden="1"/>
    </xf>
    <xf numFmtId="165" fontId="33" fillId="25" borderId="20" xfId="56" applyNumberFormat="1" applyFont="1" applyFill="1" applyBorder="1" applyAlignment="1" applyProtection="1">
      <alignment horizontal="right"/>
      <protection hidden="1"/>
    </xf>
    <xf numFmtId="165" fontId="33" fillId="0" borderId="20" xfId="56" applyNumberFormat="1" applyFont="1" applyFill="1" applyBorder="1" applyAlignment="1" applyProtection="1">
      <alignment horizontal="right" vertical="center"/>
      <protection hidden="1"/>
    </xf>
    <xf numFmtId="165" fontId="33" fillId="0" borderId="20" xfId="56" applyNumberFormat="1" applyFont="1" applyFill="1" applyBorder="1" applyAlignment="1" applyProtection="1">
      <alignment horizontal="right"/>
      <protection hidden="1"/>
    </xf>
    <xf numFmtId="0" fontId="13" fillId="0" borderId="20" xfId="0" applyFont="1" applyFill="1" applyBorder="1" applyAlignment="1" applyProtection="1">
      <alignment horizontal="left" wrapText="1"/>
      <protection hidden="1"/>
    </xf>
    <xf numFmtId="0" fontId="16" fillId="0" borderId="20" xfId="56" applyFont="1" applyFill="1" applyBorder="1">
      <alignment/>
      <protection/>
    </xf>
    <xf numFmtId="165" fontId="14" fillId="0" borderId="26" xfId="56" applyNumberFormat="1" applyFont="1" applyFill="1" applyBorder="1" applyAlignment="1" applyProtection="1">
      <alignment horizontal="right" vertical="center"/>
      <protection hidden="1"/>
    </xf>
    <xf numFmtId="165" fontId="14" fillId="0" borderId="29" xfId="56" applyNumberFormat="1" applyFont="1" applyFill="1" applyBorder="1" applyAlignment="1" applyProtection="1">
      <alignment horizontal="right" vertical="center"/>
      <protection hidden="1"/>
    </xf>
    <xf numFmtId="165" fontId="32" fillId="0" borderId="27" xfId="56" applyNumberFormat="1" applyFont="1" applyFill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44" fillId="0" borderId="20" xfId="0" applyFont="1" applyBorder="1" applyAlignment="1" applyProtection="1">
      <alignment horizontal="justify" vertical="top" wrapText="1"/>
      <protection hidden="1"/>
    </xf>
    <xf numFmtId="165" fontId="33" fillId="0" borderId="20" xfId="0" applyNumberFormat="1" applyFont="1" applyFill="1" applyBorder="1" applyAlignment="1" applyProtection="1">
      <alignment/>
      <protection hidden="1"/>
    </xf>
    <xf numFmtId="0" fontId="19" fillId="0" borderId="20" xfId="0" applyFont="1" applyBorder="1" applyAlignment="1" applyProtection="1">
      <alignment horizontal="center" vertical="top" wrapText="1"/>
      <protection hidden="1"/>
    </xf>
    <xf numFmtId="0" fontId="45" fillId="0" borderId="20" xfId="0" applyFont="1" applyBorder="1" applyAlignment="1" applyProtection="1">
      <alignment horizontal="justify" vertical="top" wrapText="1"/>
      <protection hidden="1"/>
    </xf>
    <xf numFmtId="0" fontId="46" fillId="0" borderId="20" xfId="0" applyFont="1" applyBorder="1" applyAlignment="1" applyProtection="1">
      <alignment horizontal="justify" vertical="top" wrapText="1"/>
      <protection hidden="1"/>
    </xf>
    <xf numFmtId="0" fontId="19" fillId="0" borderId="20" xfId="0" applyFont="1" applyBorder="1" applyAlignment="1" applyProtection="1">
      <alignment horizontal="justify" vertical="top" wrapText="1"/>
      <protection hidden="1"/>
    </xf>
    <xf numFmtId="165" fontId="16" fillId="0" borderId="20" xfId="0" applyNumberFormat="1" applyFont="1" applyFill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justify" vertical="top" wrapText="1"/>
      <protection hidden="1"/>
    </xf>
    <xf numFmtId="0" fontId="47" fillId="0" borderId="20" xfId="0" applyFont="1" applyBorder="1" applyAlignment="1" applyProtection="1">
      <alignment horizontal="justify" vertical="top" wrapText="1"/>
      <protection hidden="1"/>
    </xf>
    <xf numFmtId="0" fontId="19" fillId="0" borderId="20" xfId="0" applyFont="1" applyBorder="1" applyAlignment="1" applyProtection="1">
      <alignment horizontal="justify" vertical="top" wrapText="1"/>
      <protection hidden="1"/>
    </xf>
    <xf numFmtId="0" fontId="45" fillId="0" borderId="20" xfId="0" applyFont="1" applyBorder="1" applyAlignment="1" applyProtection="1">
      <alignment horizontal="justify" vertical="top" wrapText="1"/>
      <protection hidden="1"/>
    </xf>
    <xf numFmtId="165" fontId="33" fillId="0" borderId="20" xfId="0" applyNumberFormat="1" applyFont="1" applyFill="1" applyBorder="1" applyAlignment="1" applyProtection="1">
      <alignment/>
      <protection hidden="1"/>
    </xf>
    <xf numFmtId="0" fontId="19" fillId="0" borderId="20" xfId="0" applyFont="1" applyBorder="1" applyAlignment="1" applyProtection="1">
      <alignment horizontal="center" vertical="top" wrapText="1"/>
      <protection hidden="1"/>
    </xf>
    <xf numFmtId="0" fontId="19" fillId="0" borderId="30" xfId="0" applyFont="1" applyBorder="1" applyAlignment="1" applyProtection="1">
      <alignment horizontal="center" vertical="top" wrapText="1"/>
      <protection hidden="1"/>
    </xf>
    <xf numFmtId="165" fontId="14" fillId="22" borderId="20" xfId="56" applyNumberFormat="1" applyFont="1" applyFill="1" applyBorder="1" applyProtection="1">
      <alignment/>
      <protection hidden="1"/>
    </xf>
    <xf numFmtId="0" fontId="48" fillId="0" borderId="20" xfId="56" applyFont="1" applyFill="1" applyBorder="1" applyAlignment="1" applyProtection="1">
      <alignment horizontal="left" vertical="center" wrapText="1"/>
      <protection hidden="1"/>
    </xf>
    <xf numFmtId="212" fontId="3" fillId="0" borderId="2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6" fillId="0" borderId="20" xfId="0" applyFont="1" applyBorder="1" applyAlignment="1">
      <alignment vertical="center" wrapText="1"/>
    </xf>
    <xf numFmtId="49" fontId="11" fillId="25" borderId="20" xfId="56" applyNumberFormat="1" applyFont="1" applyFill="1" applyBorder="1" applyAlignment="1" applyProtection="1">
      <alignment horizontal="center" wrapText="1"/>
      <protection hidden="1"/>
    </xf>
    <xf numFmtId="165" fontId="30" fillId="0" borderId="20" xfId="56" applyNumberFormat="1" applyFont="1" applyFill="1" applyBorder="1" applyAlignment="1" applyProtection="1">
      <alignment horizontal="right" vertical="center"/>
      <protection hidden="1"/>
    </xf>
    <xf numFmtId="0" fontId="16" fillId="0" borderId="20" xfId="56" applyFont="1" applyFill="1" applyBorder="1" applyProtection="1">
      <alignment/>
      <protection hidden="1"/>
    </xf>
    <xf numFmtId="0" fontId="11" fillId="0" borderId="20" xfId="56" applyFont="1" applyFill="1" applyBorder="1" applyAlignment="1" applyProtection="1">
      <alignment horizontal="center"/>
      <protection hidden="1"/>
    </xf>
    <xf numFmtId="0" fontId="6" fillId="0" borderId="20" xfId="0" applyFont="1" applyBorder="1" applyAlignment="1">
      <alignment wrapText="1"/>
    </xf>
    <xf numFmtId="0" fontId="9" fillId="0" borderId="25" xfId="0" applyFont="1" applyBorder="1" applyAlignment="1">
      <alignment horizontal="center" vertical="center" textRotation="90" wrapText="1"/>
    </xf>
    <xf numFmtId="0" fontId="8" fillId="25" borderId="13" xfId="0" applyFont="1" applyFill="1" applyBorder="1" applyAlignment="1">
      <alignment horizontal="left" vertical="center" wrapText="1"/>
    </xf>
    <xf numFmtId="212" fontId="14" fillId="0" borderId="31" xfId="56" applyNumberFormat="1" applyFont="1" applyFill="1" applyBorder="1" applyAlignment="1">
      <alignment horizontal="right" vertical="center"/>
      <protection/>
    </xf>
    <xf numFmtId="49" fontId="6" fillId="25" borderId="13" xfId="0" applyNumberFormat="1" applyFont="1" applyFill="1" applyBorder="1" applyAlignment="1">
      <alignment horizontal="center" vertical="center" wrapText="1"/>
    </xf>
    <xf numFmtId="49" fontId="3" fillId="25" borderId="25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49" fontId="8" fillId="25" borderId="13" xfId="0" applyNumberFormat="1" applyFont="1" applyFill="1" applyBorder="1" applyAlignment="1">
      <alignment horizontal="left" vertical="center" wrapText="1"/>
    </xf>
    <xf numFmtId="165" fontId="42" fillId="0" borderId="13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center" wrapText="1"/>
    </xf>
    <xf numFmtId="3" fontId="16" fillId="24" borderId="13" xfId="0" applyNumberFormat="1" applyFont="1" applyFill="1" applyBorder="1" applyAlignment="1">
      <alignment vertical="top"/>
    </xf>
    <xf numFmtId="4" fontId="14" fillId="24" borderId="13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vertical="top"/>
    </xf>
    <xf numFmtId="0" fontId="14" fillId="24" borderId="13" xfId="0" applyFont="1" applyFill="1" applyBorder="1" applyAlignment="1">
      <alignment/>
    </xf>
    <xf numFmtId="0" fontId="16" fillId="25" borderId="13" xfId="0" applyFont="1" applyFill="1" applyBorder="1" applyAlignment="1">
      <alignment/>
    </xf>
    <xf numFmtId="3" fontId="14" fillId="22" borderId="13" xfId="0" applyNumberFormat="1" applyFont="1" applyFill="1" applyBorder="1" applyAlignment="1">
      <alignment/>
    </xf>
    <xf numFmtId="3" fontId="14" fillId="22" borderId="13" xfId="0" applyNumberFormat="1" applyFont="1" applyFill="1" applyBorder="1" applyAlignment="1">
      <alignment horizontal="center" vertical="center"/>
    </xf>
    <xf numFmtId="213" fontId="14" fillId="22" borderId="13" xfId="0" applyNumberFormat="1" applyFont="1" applyFill="1" applyBorder="1" applyAlignment="1">
      <alignment horizontal="center" vertical="center"/>
    </xf>
    <xf numFmtId="4" fontId="14" fillId="22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 horizontal="center"/>
    </xf>
    <xf numFmtId="0" fontId="16" fillId="22" borderId="13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1" fillId="0" borderId="20" xfId="56" applyNumberFormat="1" applyFont="1" applyFill="1" applyBorder="1" applyAlignment="1" applyProtection="1">
      <alignment horizontal="center"/>
      <protection hidden="1"/>
    </xf>
    <xf numFmtId="213" fontId="16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center" vertical="center" wrapText="1"/>
      <protection hidden="1"/>
    </xf>
    <xf numFmtId="49" fontId="18" fillId="0" borderId="13" xfId="0" applyNumberFormat="1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vertical="center" wrapText="1"/>
      <protection hidden="1"/>
    </xf>
    <xf numFmtId="0" fontId="18" fillId="0" borderId="13" xfId="0" applyFont="1" applyBorder="1" applyAlignment="1" applyProtection="1">
      <alignment horizontal="left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left" vertical="center" wrapText="1"/>
      <protection hidden="1"/>
    </xf>
    <xf numFmtId="1" fontId="18" fillId="0" borderId="13" xfId="0" applyNumberFormat="1" applyFont="1" applyBorder="1" applyAlignment="1" applyProtection="1">
      <alignment horizontal="center" vertical="center" wrapText="1"/>
      <protection hidden="1"/>
    </xf>
    <xf numFmtId="0" fontId="18" fillId="0" borderId="13" xfId="0" applyNumberFormat="1" applyFont="1" applyBorder="1" applyAlignment="1" applyProtection="1">
      <alignment vertical="center" wrapText="1"/>
      <protection hidden="1"/>
    </xf>
    <xf numFmtId="0" fontId="18" fillId="0" borderId="13" xfId="0" applyFont="1" applyFill="1" applyBorder="1" applyAlignment="1" applyProtection="1">
      <alignment vertical="center" wrapText="1"/>
      <protection hidden="1"/>
    </xf>
    <xf numFmtId="0" fontId="18" fillId="0" borderId="13" xfId="0" applyFont="1" applyFill="1" applyBorder="1" applyAlignment="1" applyProtection="1">
      <alignment horizontal="left" vertical="center" wrapText="1"/>
      <protection hidden="1"/>
    </xf>
    <xf numFmtId="0" fontId="18" fillId="0" borderId="13" xfId="0" applyFont="1" applyFill="1" applyBorder="1" applyAlignment="1" applyProtection="1">
      <alignment horizontal="center"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6" fillId="25" borderId="13" xfId="0" applyFont="1" applyFill="1" applyBorder="1" applyAlignment="1" applyProtection="1">
      <alignment horizontal="center" vertical="center" wrapText="1"/>
      <protection hidden="1"/>
    </xf>
    <xf numFmtId="49" fontId="46" fillId="25" borderId="13" xfId="0" applyNumberFormat="1" applyFont="1" applyFill="1" applyBorder="1" applyAlignment="1" applyProtection="1">
      <alignment horizontal="left" vertical="center" wrapText="1"/>
      <protection hidden="1"/>
    </xf>
    <xf numFmtId="0" fontId="7" fillId="25" borderId="13" xfId="0" applyFont="1" applyFill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vertical="center" wrapText="1"/>
    </xf>
    <xf numFmtId="49" fontId="19" fillId="25" borderId="13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16" fillId="0" borderId="20" xfId="56" applyFont="1" applyFill="1" applyBorder="1" applyAlignment="1">
      <alignment horizontal="center" vertical="center"/>
      <protection/>
    </xf>
    <xf numFmtId="49" fontId="16" fillId="0" borderId="20" xfId="56" applyNumberFormat="1" applyFont="1" applyFill="1" applyBorder="1" applyAlignment="1">
      <alignment horizontal="center" vertical="center"/>
      <protection/>
    </xf>
    <xf numFmtId="3" fontId="16" fillId="0" borderId="20" xfId="56" applyNumberFormat="1" applyFont="1" applyFill="1" applyBorder="1" applyAlignment="1">
      <alignment horizontal="center"/>
      <protection/>
    </xf>
    <xf numFmtId="0" fontId="12" fillId="0" borderId="22" xfId="56" applyFont="1" applyFill="1" applyBorder="1" applyAlignment="1" applyProtection="1">
      <alignment horizontal="left" vertical="center"/>
      <protection hidden="1"/>
    </xf>
    <xf numFmtId="49" fontId="13" fillId="0" borderId="22" xfId="56" applyNumberFormat="1" applyFont="1" applyFill="1" applyBorder="1" applyAlignment="1" applyProtection="1">
      <alignment horizontal="center" vertical="center"/>
      <protection hidden="1"/>
    </xf>
    <xf numFmtId="165" fontId="32" fillId="0" borderId="22" xfId="56" applyNumberFormat="1" applyFont="1" applyFill="1" applyBorder="1" applyAlignment="1" applyProtection="1">
      <alignment horizontal="right" vertical="center"/>
      <protection hidden="1"/>
    </xf>
    <xf numFmtId="0" fontId="12" fillId="0" borderId="20" xfId="56" applyFont="1" applyFill="1" applyBorder="1" applyAlignment="1" applyProtection="1">
      <alignment horizontal="left" wrapText="1"/>
      <protection hidden="1"/>
    </xf>
    <xf numFmtId="0" fontId="13" fillId="0" borderId="20" xfId="56" applyFont="1" applyFill="1" applyBorder="1" applyAlignment="1" applyProtection="1">
      <alignment horizontal="left" wrapText="1"/>
      <protection hidden="1"/>
    </xf>
    <xf numFmtId="0" fontId="11" fillId="0" borderId="20" xfId="56" applyFont="1" applyFill="1" applyBorder="1" applyAlignment="1" applyProtection="1">
      <alignment horizontal="left" wrapText="1"/>
      <protection hidden="1"/>
    </xf>
    <xf numFmtId="0" fontId="11" fillId="0" borderId="20" xfId="56" applyFont="1" applyFill="1" applyBorder="1" applyAlignment="1" applyProtection="1">
      <alignment horizontal="left" wrapText="1"/>
      <protection hidden="1"/>
    </xf>
    <xf numFmtId="0" fontId="11" fillId="26" borderId="20" xfId="0" applyFont="1" applyFill="1" applyBorder="1" applyAlignment="1" applyProtection="1">
      <alignment wrapText="1"/>
      <protection hidden="1"/>
    </xf>
    <xf numFmtId="0" fontId="11" fillId="26" borderId="20" xfId="56" applyFont="1" applyFill="1" applyBorder="1" applyAlignment="1" applyProtection="1">
      <alignment horizontal="left" vertical="center" wrapText="1"/>
      <protection hidden="1"/>
    </xf>
    <xf numFmtId="0" fontId="10" fillId="25" borderId="20" xfId="56" applyFont="1" applyFill="1" applyBorder="1" applyAlignment="1" applyProtection="1">
      <alignment horizontal="left" vertical="center" wrapText="1"/>
      <protection hidden="1"/>
    </xf>
    <xf numFmtId="49" fontId="11" fillId="25" borderId="20" xfId="56" applyNumberFormat="1" applyFont="1" applyFill="1" applyBorder="1" applyAlignment="1" applyProtection="1">
      <alignment horizontal="center"/>
      <protection hidden="1"/>
    </xf>
    <xf numFmtId="0" fontId="11" fillId="25" borderId="20" xfId="56" applyFont="1" applyFill="1" applyBorder="1" applyAlignment="1" applyProtection="1">
      <alignment horizontal="left" vertical="center" wrapText="1"/>
      <protection hidden="1"/>
    </xf>
    <xf numFmtId="49" fontId="11" fillId="0" borderId="20" xfId="0" applyNumberFormat="1" applyFont="1" applyBorder="1" applyAlignment="1" applyProtection="1">
      <alignment horizontal="left" wrapText="1"/>
      <protection hidden="1"/>
    </xf>
    <xf numFmtId="165" fontId="16" fillId="0" borderId="20" xfId="56" applyNumberFormat="1" applyFont="1" applyFill="1" applyBorder="1" applyProtection="1">
      <alignment/>
      <protection hidden="1"/>
    </xf>
    <xf numFmtId="0" fontId="11" fillId="0" borderId="20" xfId="0" applyFont="1" applyFill="1" applyBorder="1" applyAlignment="1" applyProtection="1">
      <alignment horizontal="left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20" xfId="56" applyFont="1" applyFill="1" applyBorder="1" applyAlignment="1" applyProtection="1">
      <alignment vertical="center" wrapText="1"/>
      <protection hidden="1"/>
    </xf>
    <xf numFmtId="0" fontId="10" fillId="0" borderId="20" xfId="56" applyFont="1" applyFill="1" applyBorder="1" applyAlignment="1" applyProtection="1">
      <alignment wrapText="1"/>
      <protection hidden="1"/>
    </xf>
    <xf numFmtId="49" fontId="10" fillId="0" borderId="20" xfId="56" applyNumberFormat="1" applyFont="1" applyFill="1" applyBorder="1" applyAlignment="1" applyProtection="1">
      <alignment wrapText="1"/>
      <protection hidden="1"/>
    </xf>
    <xf numFmtId="49" fontId="11" fillId="26" borderId="20" xfId="56" applyNumberFormat="1" applyFont="1" applyFill="1" applyBorder="1" applyAlignment="1" applyProtection="1">
      <alignment horizontal="center" wrapText="1"/>
      <protection hidden="1"/>
    </xf>
    <xf numFmtId="49" fontId="11" fillId="0" borderId="20" xfId="0" applyNumberFormat="1" applyFont="1" applyBorder="1" applyAlignment="1" applyProtection="1">
      <alignment horizontal="center" wrapText="1"/>
      <protection hidden="1"/>
    </xf>
    <xf numFmtId="0" fontId="11" fillId="0" borderId="20" xfId="56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 wrapText="1"/>
    </xf>
    <xf numFmtId="0" fontId="11" fillId="0" borderId="20" xfId="56" applyFont="1" applyFill="1" applyBorder="1" applyAlignment="1" applyProtection="1">
      <alignment horizontal="left" vertical="center"/>
      <protection hidden="1"/>
    </xf>
    <xf numFmtId="0" fontId="10" fillId="0" borderId="20" xfId="56" applyFont="1" applyFill="1" applyBorder="1" applyProtection="1">
      <alignment/>
      <protection hidden="1"/>
    </xf>
    <xf numFmtId="0" fontId="18" fillId="0" borderId="20" xfId="56" applyFont="1" applyFill="1" applyBorder="1" applyAlignment="1" applyProtection="1">
      <alignment horizontal="left" wrapText="1"/>
      <protection hidden="1"/>
    </xf>
    <xf numFmtId="49" fontId="11" fillId="0" borderId="20" xfId="56" applyNumberFormat="1" applyFont="1" applyFill="1" applyBorder="1" applyAlignment="1" applyProtection="1">
      <alignment wrapText="1"/>
      <protection hidden="1"/>
    </xf>
    <xf numFmtId="49" fontId="11" fillId="0" borderId="20" xfId="56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/>
      <protection hidden="1"/>
    </xf>
    <xf numFmtId="0" fontId="11" fillId="25" borderId="13" xfId="0" applyFont="1" applyFill="1" applyBorder="1" applyAlignment="1" applyProtection="1">
      <alignment horizontal="justify" vertical="center" wrapText="1"/>
      <protection hidden="1"/>
    </xf>
    <xf numFmtId="0" fontId="11" fillId="0" borderId="20" xfId="0" applyFont="1" applyBorder="1" applyAlignment="1" applyProtection="1">
      <alignment wrapText="1"/>
      <protection hidden="1"/>
    </xf>
    <xf numFmtId="166" fontId="16" fillId="0" borderId="20" xfId="56" applyNumberFormat="1" applyFont="1" applyFill="1" applyBorder="1">
      <alignment/>
      <protection/>
    </xf>
    <xf numFmtId="0" fontId="18" fillId="0" borderId="13" xfId="53" applyFont="1" applyFill="1" applyBorder="1" applyAlignment="1">
      <alignment horizontal="center" vertical="top" wrapText="1"/>
      <protection/>
    </xf>
    <xf numFmtId="166" fontId="16" fillId="0" borderId="20" xfId="56" applyNumberFormat="1" applyFont="1" applyFill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14" fillId="24" borderId="13" xfId="0" applyNumberFormat="1" applyFont="1" applyFill="1" applyBorder="1" applyAlignment="1">
      <alignment horizontal="center"/>
    </xf>
    <xf numFmtId="213" fontId="14" fillId="24" borderId="13" xfId="0" applyNumberFormat="1" applyFont="1" applyFill="1" applyBorder="1" applyAlignment="1">
      <alignment horizontal="center" vertical="center"/>
    </xf>
    <xf numFmtId="213" fontId="14" fillId="24" borderId="13" xfId="0" applyNumberFormat="1" applyFont="1" applyFill="1" applyBorder="1" applyAlignment="1">
      <alignment horizontal="right" vertical="center"/>
    </xf>
    <xf numFmtId="49" fontId="16" fillId="22" borderId="13" xfId="0" applyNumberFormat="1" applyFont="1" applyFill="1" applyBorder="1" applyAlignment="1">
      <alignment horizontal="center"/>
    </xf>
    <xf numFmtId="213" fontId="14" fillId="22" borderId="13" xfId="0" applyNumberFormat="1" applyFont="1" applyFill="1" applyBorder="1" applyAlignment="1">
      <alignment horizontal="right" vertical="center"/>
    </xf>
    <xf numFmtId="3" fontId="14" fillId="24" borderId="13" xfId="0" applyNumberFormat="1" applyFont="1" applyFill="1" applyBorder="1" applyAlignment="1">
      <alignment/>
    </xf>
    <xf numFmtId="3" fontId="14" fillId="24" borderId="13" xfId="0" applyNumberFormat="1" applyFont="1" applyFill="1" applyBorder="1" applyAlignment="1">
      <alignment horizontal="center"/>
    </xf>
    <xf numFmtId="3" fontId="14" fillId="24" borderId="13" xfId="0" applyNumberFormat="1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78" fillId="24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3" fontId="16" fillId="0" borderId="28" xfId="0" applyNumberFormat="1" applyFont="1" applyFill="1" applyBorder="1" applyAlignment="1">
      <alignment vertical="center"/>
    </xf>
    <xf numFmtId="3" fontId="14" fillId="22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0" fontId="80" fillId="0" borderId="0" xfId="0" applyFont="1" applyAlignment="1">
      <alignment/>
    </xf>
    <xf numFmtId="0" fontId="29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49" fontId="39" fillId="0" borderId="0" xfId="56" applyNumberFormat="1" applyFont="1" applyFill="1">
      <alignment/>
      <protection/>
    </xf>
    <xf numFmtId="0" fontId="39" fillId="0" borderId="0" xfId="56" applyFont="1" applyFill="1">
      <alignment/>
      <protection/>
    </xf>
    <xf numFmtId="0" fontId="39" fillId="0" borderId="0" xfId="0" applyFont="1" applyFill="1" applyAlignment="1">
      <alignment horizontal="left"/>
    </xf>
    <xf numFmtId="49" fontId="13" fillId="0" borderId="20" xfId="56" applyNumberFormat="1" applyFont="1" applyFill="1" applyBorder="1" applyAlignment="1" applyProtection="1">
      <alignment horizontal="center" wrapText="1"/>
      <protection hidden="1"/>
    </xf>
    <xf numFmtId="166" fontId="14" fillId="22" borderId="20" xfId="56" applyNumberFormat="1" applyFont="1" applyFill="1" applyBorder="1">
      <alignment/>
      <protection/>
    </xf>
    <xf numFmtId="166" fontId="14" fillId="22" borderId="20" xfId="56" applyNumberFormat="1" applyFont="1" applyFill="1" applyBorder="1" applyAlignment="1">
      <alignment horizontal="right"/>
      <protection/>
    </xf>
    <xf numFmtId="166" fontId="14" fillId="0" borderId="20" xfId="56" applyNumberFormat="1" applyFont="1" applyFill="1" applyBorder="1" applyAlignment="1">
      <alignment wrapText="1"/>
      <protection/>
    </xf>
    <xf numFmtId="165" fontId="75" fillId="0" borderId="20" xfId="0" applyNumberFormat="1" applyFont="1" applyBorder="1" applyAlignment="1" applyProtection="1">
      <alignment horizontal="right" vertical="center"/>
      <protection hidden="1"/>
    </xf>
    <xf numFmtId="165" fontId="16" fillId="0" borderId="30" xfId="56" applyNumberFormat="1" applyFont="1" applyFill="1" applyBorder="1" applyAlignment="1" applyProtection="1">
      <alignment horizontal="right"/>
      <protection hidden="1"/>
    </xf>
    <xf numFmtId="165" fontId="16" fillId="0" borderId="30" xfId="56" applyNumberFormat="1" applyFont="1" applyFill="1" applyBorder="1" applyAlignment="1" applyProtection="1">
      <alignment horizontal="right"/>
      <protection/>
    </xf>
    <xf numFmtId="165" fontId="16" fillId="0" borderId="30" xfId="56" applyNumberFormat="1" applyFont="1" applyFill="1" applyBorder="1" applyAlignment="1" applyProtection="1">
      <alignment horizontal="right"/>
      <protection locked="0"/>
    </xf>
    <xf numFmtId="165" fontId="16" fillId="0" borderId="30" xfId="56" applyNumberFormat="1" applyFont="1" applyFill="1" applyBorder="1" applyAlignment="1">
      <alignment horizontal="right"/>
      <protection/>
    </xf>
    <xf numFmtId="165" fontId="16" fillId="0" borderId="30" xfId="56" applyNumberFormat="1" applyFont="1" applyFill="1" applyBorder="1" applyAlignment="1" applyProtection="1">
      <alignment horizontal="right"/>
      <protection hidden="1"/>
    </xf>
    <xf numFmtId="165" fontId="14" fillId="22" borderId="30" xfId="56" applyNumberFormat="1" applyFont="1" applyFill="1" applyBorder="1" applyProtection="1">
      <alignment/>
      <protection hidden="1"/>
    </xf>
    <xf numFmtId="165" fontId="16" fillId="0" borderId="30" xfId="56" applyNumberFormat="1" applyFont="1" applyFill="1" applyBorder="1" applyProtection="1">
      <alignment/>
      <protection hidden="1"/>
    </xf>
    <xf numFmtId="165" fontId="16" fillId="0" borderId="30" xfId="56" applyNumberFormat="1" applyFont="1" applyFill="1" applyBorder="1" applyAlignment="1" applyProtection="1">
      <alignment horizontal="right" vertical="center"/>
      <protection hidden="1"/>
    </xf>
    <xf numFmtId="165" fontId="14" fillId="22" borderId="30" xfId="56" applyNumberFormat="1" applyFont="1" applyFill="1" applyBorder="1" applyAlignment="1" applyProtection="1">
      <alignment horizontal="right"/>
      <protection hidden="1"/>
    </xf>
    <xf numFmtId="165" fontId="30" fillId="0" borderId="30" xfId="56" applyNumberFormat="1" applyFont="1" applyFill="1" applyBorder="1" applyAlignment="1" applyProtection="1">
      <alignment horizontal="right"/>
      <protection hidden="1"/>
    </xf>
    <xf numFmtId="0" fontId="16" fillId="0" borderId="30" xfId="56" applyFont="1" applyFill="1" applyBorder="1">
      <alignment/>
      <protection/>
    </xf>
    <xf numFmtId="166" fontId="16" fillId="0" borderId="27" xfId="56" applyNumberFormat="1" applyFont="1" applyFill="1" applyBorder="1" applyAlignment="1">
      <alignment horizontal="right"/>
      <protection/>
    </xf>
    <xf numFmtId="166" fontId="14" fillId="22" borderId="27" xfId="56" applyNumberFormat="1" applyFont="1" applyFill="1" applyBorder="1" applyAlignment="1">
      <alignment horizontal="right"/>
      <protection/>
    </xf>
    <xf numFmtId="166" fontId="14" fillId="22" borderId="27" xfId="56" applyNumberFormat="1" applyFont="1" applyFill="1" applyBorder="1">
      <alignment/>
      <protection/>
    </xf>
    <xf numFmtId="0" fontId="16" fillId="0" borderId="27" xfId="56" applyFont="1" applyFill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8" fillId="0" borderId="0" xfId="56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12" fontId="3" fillId="0" borderId="13" xfId="0" applyNumberFormat="1" applyFont="1" applyBorder="1" applyAlignment="1" applyProtection="1">
      <alignment horizontal="center" vertical="center"/>
      <protection/>
    </xf>
    <xf numFmtId="165" fontId="32" fillId="0" borderId="28" xfId="0" applyNumberFormat="1" applyFont="1" applyBorder="1" applyAlignment="1" applyProtection="1">
      <alignment horizontal="center" vertical="center"/>
      <protection hidden="1"/>
    </xf>
    <xf numFmtId="166" fontId="5" fillId="0" borderId="25" xfId="0" applyNumberFormat="1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65" fontId="67" fillId="0" borderId="13" xfId="0" applyNumberFormat="1" applyFont="1" applyBorder="1" applyAlignment="1" applyProtection="1">
      <alignment horizontal="center" vertical="center" wrapText="1"/>
      <protection hidden="1"/>
    </xf>
    <xf numFmtId="165" fontId="75" fillId="0" borderId="13" xfId="0" applyNumberFormat="1" applyFont="1" applyBorder="1" applyAlignment="1" applyProtection="1">
      <alignment horizontal="center" vertical="center"/>
      <protection hidden="1"/>
    </xf>
    <xf numFmtId="165" fontId="25" fillId="0" borderId="13" xfId="0" applyNumberFormat="1" applyFont="1" applyBorder="1" applyAlignment="1" applyProtection="1">
      <alignment horizontal="center" vertical="center" wrapText="1"/>
      <protection hidden="1"/>
    </xf>
    <xf numFmtId="165" fontId="18" fillId="0" borderId="13" xfId="0" applyNumberFormat="1" applyFont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Border="1" applyAlignment="1" applyProtection="1">
      <alignment horizontal="center" vertical="center" wrapText="1"/>
      <protection locked="0"/>
    </xf>
    <xf numFmtId="212" fontId="19" fillId="0" borderId="13" xfId="0" applyNumberFormat="1" applyFont="1" applyBorder="1" applyAlignment="1" applyProtection="1">
      <alignment horizontal="center" vertical="center" wrapText="1"/>
      <protection/>
    </xf>
    <xf numFmtId="16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Border="1" applyAlignment="1" applyProtection="1">
      <alignment horizontal="center" vertical="center" wrapText="1"/>
      <protection/>
    </xf>
    <xf numFmtId="165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Fill="1" applyBorder="1" applyAlignment="1" applyProtection="1">
      <alignment horizontal="center" vertical="center" wrapText="1"/>
      <protection/>
    </xf>
    <xf numFmtId="212" fontId="73" fillId="0" borderId="13" xfId="0" applyNumberFormat="1" applyFont="1" applyBorder="1" applyAlignment="1" applyProtection="1">
      <alignment horizontal="center" vertical="center" wrapText="1"/>
      <protection locked="0"/>
    </xf>
    <xf numFmtId="212" fontId="72" fillId="0" borderId="13" xfId="0" applyNumberFormat="1" applyFont="1" applyBorder="1" applyAlignment="1" applyProtection="1">
      <alignment horizontal="center" vertical="center" wrapText="1"/>
      <protection/>
    </xf>
    <xf numFmtId="212" fontId="19" fillId="0" borderId="13" xfId="0" applyNumberFormat="1" applyFont="1" applyBorder="1" applyAlignment="1" applyProtection="1">
      <alignment horizontal="center" vertical="center" wrapText="1"/>
      <protection locked="0"/>
    </xf>
    <xf numFmtId="212" fontId="73" fillId="0" borderId="13" xfId="0" applyNumberFormat="1" applyFont="1" applyBorder="1" applyAlignment="1" applyProtection="1">
      <alignment horizontal="center" vertical="center" wrapText="1"/>
      <protection locked="0"/>
    </xf>
    <xf numFmtId="165" fontId="69" fillId="0" borderId="13" xfId="0" applyNumberFormat="1" applyFont="1" applyBorder="1" applyAlignment="1" applyProtection="1">
      <alignment horizontal="center" vertical="center" wrapText="1"/>
      <protection hidden="1"/>
    </xf>
    <xf numFmtId="165" fontId="70" fillId="0" borderId="13" xfId="0" applyNumberFormat="1" applyFont="1" applyBorder="1" applyAlignment="1" applyProtection="1">
      <alignment horizontal="center" vertical="center" wrapText="1"/>
      <protection hidden="1"/>
    </xf>
    <xf numFmtId="212" fontId="72" fillId="0" borderId="13" xfId="0" applyNumberFormat="1" applyFont="1" applyBorder="1" applyAlignment="1" applyProtection="1">
      <alignment horizontal="center" vertical="center" wrapText="1"/>
      <protection/>
    </xf>
    <xf numFmtId="165" fontId="67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5" fillId="25" borderId="13" xfId="0" applyNumberFormat="1" applyFont="1" applyFill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Fill="1" applyBorder="1" applyAlignment="1" applyProtection="1">
      <alignment horizontal="center" vertical="center" wrapText="1"/>
      <protection/>
    </xf>
    <xf numFmtId="212" fontId="71" fillId="0" borderId="13" xfId="0" applyNumberFormat="1" applyFont="1" applyBorder="1" applyAlignment="1" applyProtection="1">
      <alignment horizontal="center" vertical="center" wrapText="1"/>
      <protection/>
    </xf>
    <xf numFmtId="212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67" fillId="0" borderId="13" xfId="0" applyNumberFormat="1" applyFont="1" applyBorder="1" applyAlignment="1" applyProtection="1">
      <alignment horizontal="center" vertical="center" wrapText="1"/>
      <protection hidden="1"/>
    </xf>
    <xf numFmtId="212" fontId="71" fillId="0" borderId="13" xfId="0" applyNumberFormat="1" applyFont="1" applyBorder="1" applyAlignment="1" applyProtection="1">
      <alignment horizontal="center" vertical="center" wrapText="1"/>
      <protection locked="0"/>
    </xf>
    <xf numFmtId="212" fontId="71" fillId="0" borderId="13" xfId="0" applyNumberFormat="1" applyFont="1" applyBorder="1" applyAlignment="1" applyProtection="1">
      <alignment horizontal="center" vertical="center" wrapText="1"/>
      <protection/>
    </xf>
    <xf numFmtId="212" fontId="21" fillId="0" borderId="13" xfId="0" applyNumberFormat="1" applyFont="1" applyBorder="1" applyAlignment="1" applyProtection="1">
      <alignment horizontal="center" vertical="center"/>
      <protection/>
    </xf>
    <xf numFmtId="166" fontId="5" fillId="0" borderId="13" xfId="0" applyNumberFormat="1" applyFont="1" applyFill="1" applyBorder="1" applyAlignment="1">
      <alignment horizontal="center" vertical="center"/>
    </xf>
    <xf numFmtId="212" fontId="21" fillId="0" borderId="13" xfId="0" applyNumberFormat="1" applyFont="1" applyBorder="1" applyAlignment="1" applyProtection="1">
      <alignment horizontal="center" vertical="center"/>
      <protection hidden="1"/>
    </xf>
    <xf numFmtId="212" fontId="22" fillId="0" borderId="13" xfId="0" applyNumberFormat="1" applyFont="1" applyBorder="1" applyAlignment="1" applyProtection="1">
      <alignment horizontal="center" vertical="center"/>
      <protection hidden="1"/>
    </xf>
    <xf numFmtId="212" fontId="22" fillId="0" borderId="13" xfId="0" applyNumberFormat="1" applyFont="1" applyBorder="1" applyAlignment="1" applyProtection="1">
      <alignment horizontal="center" vertical="center"/>
      <protection/>
    </xf>
    <xf numFmtId="212" fontId="3" fillId="0" borderId="25" xfId="0" applyNumberFormat="1" applyFont="1" applyBorder="1" applyAlignment="1" applyProtection="1">
      <alignment horizontal="center" vertical="center"/>
      <protection hidden="1"/>
    </xf>
    <xf numFmtId="166" fontId="5" fillId="0" borderId="13" xfId="0" applyNumberFormat="1" applyFont="1" applyFill="1" applyBorder="1" applyAlignment="1">
      <alignment horizontal="center" vertical="center" wrapText="1"/>
    </xf>
    <xf numFmtId="212" fontId="3" fillId="0" borderId="13" xfId="0" applyNumberFormat="1" applyFont="1" applyBorder="1" applyAlignment="1" applyProtection="1">
      <alignment horizontal="center" vertical="center"/>
      <protection hidden="1"/>
    </xf>
    <xf numFmtId="166" fontId="3" fillId="0" borderId="13" xfId="0" applyNumberFormat="1" applyFont="1" applyFill="1" applyBorder="1" applyAlignment="1">
      <alignment horizontal="center" vertical="center" wrapText="1"/>
    </xf>
    <xf numFmtId="212" fontId="22" fillId="0" borderId="13" xfId="0" applyNumberFormat="1" applyFont="1" applyBorder="1" applyAlignment="1" applyProtection="1">
      <alignment horizontal="center" vertical="center" wrapText="1"/>
      <protection hidden="1"/>
    </xf>
    <xf numFmtId="212" fontId="22" fillId="0" borderId="13" xfId="0" applyNumberFormat="1" applyFont="1" applyBorder="1" applyAlignment="1" applyProtection="1">
      <alignment horizontal="center" vertical="center" wrapText="1"/>
      <protection locked="0"/>
    </xf>
    <xf numFmtId="212" fontId="22" fillId="0" borderId="13" xfId="0" applyNumberFormat="1" applyFont="1" applyBorder="1" applyAlignment="1" applyProtection="1">
      <alignment horizontal="center" vertical="center" wrapText="1"/>
      <protection/>
    </xf>
    <xf numFmtId="212" fontId="3" fillId="0" borderId="13" xfId="0" applyNumberFormat="1" applyFont="1" applyBorder="1" applyAlignment="1" applyProtection="1">
      <alignment horizontal="center" vertical="center"/>
      <protection/>
    </xf>
    <xf numFmtId="166" fontId="3" fillId="0" borderId="13" xfId="0" applyNumberFormat="1" applyFont="1" applyFill="1" applyBorder="1" applyAlignment="1">
      <alignment horizontal="center" vertical="center"/>
    </xf>
    <xf numFmtId="212" fontId="3" fillId="0" borderId="13" xfId="0" applyNumberFormat="1" applyFont="1" applyBorder="1" applyAlignment="1">
      <alignment horizontal="center" vertical="center"/>
    </xf>
    <xf numFmtId="212" fontId="22" fillId="0" borderId="13" xfId="0" applyNumberFormat="1" applyFont="1" applyFill="1" applyBorder="1" applyAlignment="1" applyProtection="1">
      <alignment horizontal="center" vertical="center"/>
      <protection hidden="1"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166" fontId="3" fillId="0" borderId="13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  <protection hidden="1"/>
    </xf>
    <xf numFmtId="3" fontId="5" fillId="0" borderId="1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12" fontId="22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>
      <alignment horizontal="center" vertical="center"/>
    </xf>
    <xf numFmtId="49" fontId="11" fillId="0" borderId="13" xfId="56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3" fontId="14" fillId="0" borderId="0" xfId="56" applyNumberFormat="1" applyFont="1" applyFill="1" applyBorder="1" applyAlignment="1">
      <alignment horizontal="center" wrapText="1"/>
      <protection/>
    </xf>
    <xf numFmtId="0" fontId="14" fillId="0" borderId="0" xfId="56" applyFont="1" applyFill="1" applyBorder="1" applyAlignment="1">
      <alignment horizontal="center" vertical="center"/>
      <protection/>
    </xf>
    <xf numFmtId="3" fontId="11" fillId="0" borderId="33" xfId="56" applyNumberFormat="1" applyFont="1" applyFill="1" applyBorder="1" applyAlignment="1">
      <alignment horizontal="center" vertical="center" wrapText="1"/>
      <protection/>
    </xf>
    <xf numFmtId="0" fontId="11" fillId="0" borderId="34" xfId="56" applyFont="1" applyFill="1" applyBorder="1" applyAlignment="1">
      <alignment horizontal="center" vertical="center"/>
      <protection/>
    </xf>
    <xf numFmtId="0" fontId="11" fillId="0" borderId="35" xfId="56" applyFont="1" applyFill="1" applyBorder="1" applyAlignment="1">
      <alignment horizontal="center" vertical="center"/>
      <protection/>
    </xf>
    <xf numFmtId="0" fontId="11" fillId="0" borderId="36" xfId="56" applyFont="1" applyFill="1" applyBorder="1" applyAlignment="1">
      <alignment horizontal="center" vertical="center"/>
      <protection/>
    </xf>
    <xf numFmtId="49" fontId="11" fillId="0" borderId="23" xfId="56" applyNumberFormat="1" applyFont="1" applyFill="1" applyBorder="1" applyAlignment="1">
      <alignment horizontal="center" vertical="center" wrapText="1"/>
      <protection/>
    </xf>
    <xf numFmtId="0" fontId="74" fillId="0" borderId="20" xfId="56" applyFont="1" applyFill="1" applyBorder="1" applyAlignment="1" applyProtection="1">
      <alignment horizontal="left" vertical="center" wrapText="1"/>
      <protection hidden="1"/>
    </xf>
    <xf numFmtId="3" fontId="11" fillId="0" borderId="13" xfId="56" applyNumberFormat="1" applyFont="1" applyFill="1" applyBorder="1" applyAlignment="1">
      <alignment horizontal="center" vertical="center" wrapText="1"/>
      <protection/>
    </xf>
    <xf numFmtId="3" fontId="11" fillId="0" borderId="23" xfId="56" applyNumberFormat="1" applyFont="1" applyFill="1" applyBorder="1" applyAlignment="1">
      <alignment horizontal="center" vertical="center" wrapText="1"/>
      <protection/>
    </xf>
    <xf numFmtId="3" fontId="11" fillId="0" borderId="37" xfId="56" applyNumberFormat="1" applyFont="1" applyFill="1" applyBorder="1" applyAlignment="1">
      <alignment horizontal="center" vertical="center" textRotation="90" wrapText="1"/>
      <protection/>
    </xf>
    <xf numFmtId="3" fontId="11" fillId="0" borderId="38" xfId="56" applyNumberFormat="1" applyFont="1" applyFill="1" applyBorder="1" applyAlignment="1">
      <alignment horizontal="center" vertical="center" textRotation="90" wrapText="1"/>
      <protection/>
    </xf>
    <xf numFmtId="3" fontId="11" fillId="0" borderId="39" xfId="56" applyNumberFormat="1" applyFont="1" applyFill="1" applyBorder="1" applyAlignment="1">
      <alignment horizontal="center" vertical="center" textRotation="90" wrapText="1"/>
      <protection/>
    </xf>
    <xf numFmtId="49" fontId="11" fillId="0" borderId="33" xfId="56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 applyProtection="1">
      <alignment horizontal="left"/>
      <protection hidden="1"/>
    </xf>
    <xf numFmtId="0" fontId="12" fillId="0" borderId="27" xfId="0" applyFont="1" applyBorder="1" applyAlignment="1" applyProtection="1">
      <alignment horizontal="left"/>
      <protection hidden="1"/>
    </xf>
    <xf numFmtId="3" fontId="20" fillId="0" borderId="0" xfId="0" applyNumberFormat="1" applyFont="1" applyFill="1" applyBorder="1" applyAlignment="1">
      <alignment horizontal="center"/>
    </xf>
    <xf numFmtId="0" fontId="12" fillId="0" borderId="40" xfId="0" applyFont="1" applyBorder="1" applyAlignment="1" applyProtection="1">
      <alignment horizontal="left"/>
      <protection hidden="1"/>
    </xf>
    <xf numFmtId="0" fontId="12" fillId="0" borderId="31" xfId="0" applyFont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 horizontal="left" wrapText="1"/>
      <protection hidden="1"/>
    </xf>
    <xf numFmtId="0" fontId="18" fillId="0" borderId="27" xfId="0" applyFont="1" applyBorder="1" applyAlignment="1" applyProtection="1">
      <alignment horizontal="left" wrapText="1"/>
      <protection hidden="1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8" fillId="0" borderId="38" xfId="53" applyFont="1" applyFill="1" applyBorder="1" applyAlignment="1">
      <alignment horizontal="center" vertical="center" textRotation="90" wrapText="1"/>
      <protection/>
    </xf>
    <xf numFmtId="0" fontId="18" fillId="0" borderId="39" xfId="53" applyFont="1" applyFill="1" applyBorder="1" applyAlignment="1">
      <alignment horizontal="center" vertical="center" textRotation="90" wrapText="1"/>
      <protection/>
    </xf>
    <xf numFmtId="0" fontId="18" fillId="0" borderId="28" xfId="53" applyFont="1" applyFill="1" applyBorder="1" applyAlignment="1">
      <alignment horizontal="center" vertical="center" textRotation="90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8" fillId="0" borderId="42" xfId="53" applyFont="1" applyFill="1" applyBorder="1" applyAlignment="1">
      <alignment horizontal="center" vertical="center" wrapText="1"/>
      <protection/>
    </xf>
    <xf numFmtId="0" fontId="18" fillId="0" borderId="43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18" fillId="0" borderId="44" xfId="53" applyFont="1" applyFill="1" applyBorder="1" applyAlignment="1">
      <alignment horizontal="center" vertical="center" wrapText="1"/>
      <protection/>
    </xf>
    <xf numFmtId="0" fontId="18" fillId="0" borderId="45" xfId="53" applyFont="1" applyFill="1" applyBorder="1" applyAlignment="1">
      <alignment horizontal="center" vertical="center" textRotation="90" wrapText="1"/>
      <protection/>
    </xf>
    <xf numFmtId="0" fontId="18" fillId="0" borderId="46" xfId="53" applyFont="1" applyFill="1" applyBorder="1" applyAlignment="1">
      <alignment horizontal="center" vertical="center" textRotation="90" wrapText="1"/>
      <protection/>
    </xf>
    <xf numFmtId="0" fontId="18" fillId="0" borderId="47" xfId="53" applyFont="1" applyFill="1" applyBorder="1" applyAlignment="1">
      <alignment horizontal="center" vertical="center" textRotation="90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38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textRotation="90" wrapText="1"/>
      <protection/>
    </xf>
    <xf numFmtId="0" fontId="18" fillId="0" borderId="13" xfId="53" applyFont="1" applyFill="1" applyBorder="1" applyAlignment="1">
      <alignment horizontal="center" vertical="center" textRotation="90" wrapText="1"/>
      <protection/>
    </xf>
    <xf numFmtId="0" fontId="18" fillId="0" borderId="23" xfId="53" applyFont="1" applyFill="1" applyBorder="1" applyAlignment="1">
      <alignment horizontal="center" vertical="center" textRotation="90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8" fillId="0" borderId="50" xfId="53" applyFont="1" applyFill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52" xfId="53" applyFont="1" applyFill="1" applyBorder="1" applyAlignment="1">
      <alignment horizontal="center" vertical="center" wrapText="1"/>
      <protection/>
    </xf>
    <xf numFmtId="0" fontId="18" fillId="0" borderId="53" xfId="53" applyFont="1" applyFill="1" applyBorder="1" applyAlignment="1">
      <alignment horizontal="center" vertical="center" wrapText="1"/>
      <protection/>
    </xf>
    <xf numFmtId="0" fontId="18" fillId="0" borderId="54" xfId="53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center"/>
      <protection/>
    </xf>
    <xf numFmtId="0" fontId="18" fillId="0" borderId="37" xfId="53" applyFont="1" applyFill="1" applyBorder="1" applyAlignment="1">
      <alignment horizontal="center" vertical="center" textRotation="90" wrapText="1"/>
      <protection/>
    </xf>
    <xf numFmtId="0" fontId="14" fillId="22" borderId="14" xfId="0" applyFont="1" applyFill="1" applyBorder="1" applyAlignment="1">
      <alignment horizontal="center" vertical="center"/>
    </xf>
    <xf numFmtId="0" fontId="14" fillId="22" borderId="4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6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ругие долговые обязательства" xfId="53"/>
    <cellStyle name="Обычный_Информация 1" xfId="54"/>
    <cellStyle name="Обычный_Лист Microsoft Excel" xfId="55"/>
    <cellStyle name="Обычный_Прил №2 - ФКР - Бюджет 200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kolaeva\&#1052;&#1086;&#1080;%20&#1076;&#1086;&#1082;&#1091;&#1084;&#1077;&#1085;&#1090;&#1099;\&#1052;&#1086;&#1080;%20&#1076;&#1086;&#1082;&#1091;&#1084;&#1077;&#1085;&#1090;&#1099;\&#1054;&#1090;&#1095;&#1077;&#1090;&#1099;\2011%20&#1075;&#1086;&#1076;\&#1054;&#1090;&#1095;&#1077;&#1090;%20&#1057;&#1086;&#1074;&#1077;&#1090;&#1091;%20&#1076;&#1077;&#1087;&#1091;&#1090;&#1072;&#1090;&#1086;&#1074;%20&#1075;&#1086;&#1088;.%20&#1086;&#1082;&#1088;\1%20&#1082;&#1074;\&#1054;&#1090;&#1095;&#1077;&#1090;%20&#1079;&#1072;%201%20&#1082;&#107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kolaeva\&#1052;&#1086;&#1080;%20&#1076;&#1086;&#1082;&#1091;&#1084;&#1077;&#1085;&#1090;&#1099;\&#1052;&#1086;&#1080;%20&#1076;&#1086;&#1082;&#1091;&#1084;&#1077;&#1085;&#1090;&#1099;\&#1041;&#1102;&#1076;&#1078;&#1077;&#1090;%202011\&#1041;&#1102;&#1076;&#1078;&#1077;&#1090;%20&#1085;&#1072;%202011%20&#1059;&#1090;&#1074;&#1077;&#1088;&#1078;&#1076;&#1077;&#1085;&#1085;&#1099;&#1081;\&#1055;&#1088;&#1080;&#1083;&#1086;&#1078;&#1077;&#1085;&#1080;&#1103;%20&#1089;%201-9%20%20&#1082;%20&#1073;&#1102;&#1076;&#1078;&#1077;&#1090;&#1091;%2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Источники"/>
    </sheetNames>
    <sheetDataSet>
      <sheetData sheetId="1">
        <row r="38">
          <cell r="C38">
            <v>0</v>
          </cell>
        </row>
        <row r="41">
          <cell r="C41">
            <v>0</v>
          </cell>
        </row>
        <row r="43">
          <cell r="C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showGridLines="0" showZero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G6"/>
    </sheetView>
  </sheetViews>
  <sheetFormatPr defaultColWidth="9.25390625" defaultRowHeight="12.75"/>
  <cols>
    <col min="1" max="1" width="21.75390625" style="33" customWidth="1"/>
    <col min="2" max="2" width="61.25390625" style="34" customWidth="1"/>
    <col min="3" max="3" width="13.25390625" style="502" customWidth="1"/>
    <col min="4" max="4" width="13.75390625" style="438" customWidth="1"/>
    <col min="5" max="5" width="12.25390625" style="441" customWidth="1"/>
    <col min="6" max="6" width="8.75390625" style="441" customWidth="1"/>
    <col min="7" max="7" width="9.375" style="441" customWidth="1"/>
    <col min="8" max="16384" width="9.25390625" style="25" customWidth="1"/>
  </cols>
  <sheetData>
    <row r="1" spans="1:6" ht="15.75">
      <c r="A1" s="23"/>
      <c r="B1" s="23"/>
      <c r="C1" s="437"/>
      <c r="E1" s="439" t="s">
        <v>443</v>
      </c>
      <c r="F1" s="440"/>
    </row>
    <row r="2" spans="1:6" ht="15">
      <c r="A2" s="26"/>
      <c r="B2" s="26"/>
      <c r="C2" s="437"/>
      <c r="E2" s="442" t="s">
        <v>1059</v>
      </c>
      <c r="F2" s="443"/>
    </row>
    <row r="3" spans="1:6" ht="15">
      <c r="A3" s="27"/>
      <c r="B3" s="27"/>
      <c r="C3" s="437"/>
      <c r="E3" s="442" t="s">
        <v>1610</v>
      </c>
      <c r="F3" s="444"/>
    </row>
    <row r="4" spans="1:6" ht="15">
      <c r="A4" s="26"/>
      <c r="B4" s="26"/>
      <c r="C4" s="443"/>
      <c r="D4" s="443"/>
      <c r="E4" s="443"/>
      <c r="F4" s="443"/>
    </row>
    <row r="5" spans="1:7" ht="15">
      <c r="A5" s="504" t="s">
        <v>1060</v>
      </c>
      <c r="B5" s="504"/>
      <c r="C5" s="504"/>
      <c r="D5" s="504"/>
      <c r="E5" s="504"/>
      <c r="F5" s="504"/>
      <c r="G5" s="504"/>
    </row>
    <row r="6" spans="1:7" ht="15">
      <c r="A6" s="504" t="s">
        <v>1241</v>
      </c>
      <c r="B6" s="504"/>
      <c r="C6" s="504"/>
      <c r="D6" s="504"/>
      <c r="E6" s="504"/>
      <c r="F6" s="504"/>
      <c r="G6" s="504"/>
    </row>
    <row r="7" spans="1:7" ht="15">
      <c r="A7" s="504" t="s">
        <v>218</v>
      </c>
      <c r="B7" s="504"/>
      <c r="C7" s="504"/>
      <c r="D7" s="504"/>
      <c r="E7" s="504"/>
      <c r="F7" s="504"/>
      <c r="G7" s="504"/>
    </row>
    <row r="8" spans="1:7" ht="15.75" thickBot="1">
      <c r="A8" s="24"/>
      <c r="B8" s="24"/>
      <c r="C8" s="443"/>
      <c r="D8" s="443"/>
      <c r="E8" s="443"/>
      <c r="G8" s="445" t="s">
        <v>513</v>
      </c>
    </row>
    <row r="9" spans="1:7" ht="45.75" thickBot="1">
      <c r="A9" s="28" t="s">
        <v>437</v>
      </c>
      <c r="B9" s="29" t="s">
        <v>1070</v>
      </c>
      <c r="C9" s="30" t="s">
        <v>515</v>
      </c>
      <c r="D9" s="30" t="s">
        <v>1236</v>
      </c>
      <c r="E9" s="30" t="s">
        <v>438</v>
      </c>
      <c r="F9" s="31" t="s">
        <v>1057</v>
      </c>
      <c r="G9" s="32" t="s">
        <v>1058</v>
      </c>
    </row>
    <row r="10" spans="1:7" ht="15.75">
      <c r="A10" s="216"/>
      <c r="B10" s="217" t="s">
        <v>785</v>
      </c>
      <c r="C10" s="446"/>
      <c r="D10" s="447"/>
      <c r="E10" s="447"/>
      <c r="F10" s="448"/>
      <c r="G10" s="449"/>
    </row>
    <row r="11" spans="1:7" ht="25.5">
      <c r="A11" s="316" t="s">
        <v>786</v>
      </c>
      <c r="B11" s="218" t="s">
        <v>787</v>
      </c>
      <c r="C11" s="450">
        <f>C12+C20+C25+C33+C39+C54+C72+C78+C88+C98+C124+C131</f>
        <v>2364092.2</v>
      </c>
      <c r="D11" s="450">
        <f>D12+D20+D25+D33+D39+D54+D72+D78+D88+D98+D124+D131</f>
        <v>2823986.5000000005</v>
      </c>
      <c r="E11" s="450">
        <f>E12+E20+E25+E33+E39+E54+E72+E78+E88+E98+E124+E131</f>
        <v>2918753.1000000006</v>
      </c>
      <c r="F11" s="451">
        <f>E11/C11*100</f>
        <v>123.46189797504515</v>
      </c>
      <c r="G11" s="451">
        <f>E11/D11*100</f>
        <v>103.35577383248821</v>
      </c>
    </row>
    <row r="12" spans="1:7" ht="24" customHeight="1">
      <c r="A12" s="317" t="s">
        <v>279</v>
      </c>
      <c r="B12" s="318" t="s">
        <v>280</v>
      </c>
      <c r="C12" s="452">
        <f>C13</f>
        <v>1421917.2</v>
      </c>
      <c r="D12" s="452">
        <f>D13</f>
        <v>1581200</v>
      </c>
      <c r="E12" s="452">
        <f>E13</f>
        <v>1578530.6000000003</v>
      </c>
      <c r="F12" s="451">
        <f>E12/C12*100</f>
        <v>111.01424189819214</v>
      </c>
      <c r="G12" s="451">
        <f>E12/D12*100</f>
        <v>99.83117885150521</v>
      </c>
    </row>
    <row r="13" spans="1:7" ht="15">
      <c r="A13" s="317" t="s">
        <v>281</v>
      </c>
      <c r="B13" s="218" t="s">
        <v>282</v>
      </c>
      <c r="C13" s="452">
        <v>1421917.2</v>
      </c>
      <c r="D13" s="452">
        <f>D14+D15+D18+D19</f>
        <v>1581200</v>
      </c>
      <c r="E13" s="452">
        <f>E14+E15+E18+E19</f>
        <v>1578530.6000000003</v>
      </c>
      <c r="F13" s="451">
        <f>E13/C13*100</f>
        <v>111.01424189819214</v>
      </c>
      <c r="G13" s="451">
        <f>E13/D13*100</f>
        <v>99.83117885150521</v>
      </c>
    </row>
    <row r="14" spans="1:7" ht="48">
      <c r="A14" s="317" t="s">
        <v>283</v>
      </c>
      <c r="B14" s="222" t="s">
        <v>1555</v>
      </c>
      <c r="C14" s="453"/>
      <c r="D14" s="453">
        <v>1560000</v>
      </c>
      <c r="E14" s="454">
        <v>1556575.3</v>
      </c>
      <c r="F14" s="451"/>
      <c r="G14" s="451">
        <f aca="true" t="shared" si="0" ref="G14:G77">E14/D14*100</f>
        <v>99.78046794871796</v>
      </c>
    </row>
    <row r="15" spans="1:7" ht="72">
      <c r="A15" s="317" t="s">
        <v>284</v>
      </c>
      <c r="B15" s="220" t="s">
        <v>1556</v>
      </c>
      <c r="C15" s="453">
        <v>0</v>
      </c>
      <c r="D15" s="455">
        <v>4500</v>
      </c>
      <c r="E15" s="454">
        <v>4416.6</v>
      </c>
      <c r="F15" s="451"/>
      <c r="G15" s="451">
        <f t="shared" si="0"/>
        <v>98.14666666666668</v>
      </c>
    </row>
    <row r="16" spans="1:7" ht="64.5" customHeight="1" hidden="1">
      <c r="A16" s="317" t="s">
        <v>1548</v>
      </c>
      <c r="B16" s="220" t="s">
        <v>983</v>
      </c>
      <c r="C16" s="453"/>
      <c r="D16" s="455">
        <v>0</v>
      </c>
      <c r="E16" s="454"/>
      <c r="F16" s="451"/>
      <c r="G16" s="451"/>
    </row>
    <row r="17" spans="1:7" ht="48" hidden="1">
      <c r="A17" s="374" t="s">
        <v>984</v>
      </c>
      <c r="B17" s="375" t="s">
        <v>985</v>
      </c>
      <c r="C17" s="453"/>
      <c r="D17" s="455"/>
      <c r="E17" s="454"/>
      <c r="F17" s="451"/>
      <c r="G17" s="451"/>
    </row>
    <row r="18" spans="1:7" ht="32.25" customHeight="1">
      <c r="A18" s="317" t="s">
        <v>285</v>
      </c>
      <c r="B18" s="221" t="s">
        <v>617</v>
      </c>
      <c r="C18" s="456"/>
      <c r="D18" s="456">
        <v>9700</v>
      </c>
      <c r="E18" s="454">
        <v>9741.6</v>
      </c>
      <c r="F18" s="451"/>
      <c r="G18" s="451">
        <f t="shared" si="0"/>
        <v>100.42886597938146</v>
      </c>
    </row>
    <row r="19" spans="1:7" ht="64.5" customHeight="1">
      <c r="A19" s="317" t="s">
        <v>286</v>
      </c>
      <c r="B19" s="219" t="s">
        <v>618</v>
      </c>
      <c r="C19" s="453"/>
      <c r="D19" s="453">
        <v>7000</v>
      </c>
      <c r="E19" s="454">
        <v>7797.1</v>
      </c>
      <c r="F19" s="451"/>
      <c r="G19" s="451">
        <f t="shared" si="0"/>
        <v>111.38714285714286</v>
      </c>
    </row>
    <row r="20" spans="1:7" ht="36.75" customHeight="1">
      <c r="A20" s="317" t="s">
        <v>263</v>
      </c>
      <c r="B20" s="318" t="s">
        <v>264</v>
      </c>
      <c r="C20" s="452">
        <f>C21+C23+C22</f>
        <v>118000</v>
      </c>
      <c r="D20" s="452">
        <f>D21+D23+D22</f>
        <v>140060</v>
      </c>
      <c r="E20" s="452">
        <f>E21+E23+E22</f>
        <v>141505.6</v>
      </c>
      <c r="F20" s="451">
        <f aca="true" t="shared" si="1" ref="F20:F73">E20/C20*100</f>
        <v>119.92</v>
      </c>
      <c r="G20" s="451">
        <f t="shared" si="0"/>
        <v>101.03212908753392</v>
      </c>
    </row>
    <row r="21" spans="1:7" ht="26.25" customHeight="1">
      <c r="A21" s="317" t="s">
        <v>265</v>
      </c>
      <c r="B21" s="218" t="s">
        <v>266</v>
      </c>
      <c r="C21" s="456">
        <v>116000</v>
      </c>
      <c r="D21" s="456">
        <v>138300</v>
      </c>
      <c r="E21" s="454">
        <v>139013.4</v>
      </c>
      <c r="F21" s="451">
        <f t="shared" si="1"/>
        <v>119.83913793103447</v>
      </c>
      <c r="G21" s="451">
        <f t="shared" si="0"/>
        <v>100.51583514099782</v>
      </c>
    </row>
    <row r="22" spans="1:7" ht="30.75" customHeight="1">
      <c r="A22" s="317" t="s">
        <v>267</v>
      </c>
      <c r="B22" s="218" t="s">
        <v>268</v>
      </c>
      <c r="C22" s="456">
        <v>2000</v>
      </c>
      <c r="D22" s="456">
        <v>1700</v>
      </c>
      <c r="E22" s="454">
        <v>2431.2</v>
      </c>
      <c r="F22" s="451">
        <f t="shared" si="1"/>
        <v>121.56</v>
      </c>
      <c r="G22" s="451">
        <f t="shared" si="0"/>
        <v>143.01176470588234</v>
      </c>
    </row>
    <row r="23" spans="1:7" ht="30" customHeight="1">
      <c r="A23" s="317" t="s">
        <v>269</v>
      </c>
      <c r="B23" s="218" t="s">
        <v>270</v>
      </c>
      <c r="C23" s="456">
        <f>C24</f>
        <v>0</v>
      </c>
      <c r="D23" s="456">
        <f>D24</f>
        <v>60</v>
      </c>
      <c r="E23" s="456">
        <f>E24</f>
        <v>61</v>
      </c>
      <c r="F23" s="451"/>
      <c r="G23" s="451">
        <f t="shared" si="0"/>
        <v>101.66666666666666</v>
      </c>
    </row>
    <row r="24" spans="1:7" ht="15">
      <c r="A24" s="317" t="s">
        <v>619</v>
      </c>
      <c r="B24" s="319" t="s">
        <v>270</v>
      </c>
      <c r="C24" s="456">
        <v>0</v>
      </c>
      <c r="D24" s="456">
        <v>60</v>
      </c>
      <c r="E24" s="457">
        <v>61</v>
      </c>
      <c r="F24" s="451"/>
      <c r="G24" s="451">
        <f t="shared" si="0"/>
        <v>101.66666666666666</v>
      </c>
    </row>
    <row r="25" spans="1:7" ht="15">
      <c r="A25" s="320" t="s">
        <v>271</v>
      </c>
      <c r="B25" s="318" t="s">
        <v>272</v>
      </c>
      <c r="C25" s="452">
        <f>C26+C28</f>
        <v>388980</v>
      </c>
      <c r="D25" s="452">
        <f>D26+D28</f>
        <v>409000</v>
      </c>
      <c r="E25" s="452">
        <f>E26+E28</f>
        <v>465731.2</v>
      </c>
      <c r="F25" s="451">
        <f t="shared" si="1"/>
        <v>119.73140007198313</v>
      </c>
      <c r="G25" s="451">
        <f t="shared" si="0"/>
        <v>113.87070904645478</v>
      </c>
    </row>
    <row r="26" spans="1:7" ht="15.75" customHeight="1">
      <c r="A26" s="317" t="s">
        <v>273</v>
      </c>
      <c r="B26" s="223" t="s">
        <v>274</v>
      </c>
      <c r="C26" s="452">
        <f>C27</f>
        <v>23000</v>
      </c>
      <c r="D26" s="452">
        <f>D27</f>
        <v>23000</v>
      </c>
      <c r="E26" s="452">
        <f>E27</f>
        <v>30582.3</v>
      </c>
      <c r="F26" s="451">
        <f t="shared" si="1"/>
        <v>132.96652173913043</v>
      </c>
      <c r="G26" s="451">
        <f t="shared" si="0"/>
        <v>132.96652173913043</v>
      </c>
    </row>
    <row r="27" spans="1:7" ht="24" customHeight="1">
      <c r="A27" s="317" t="s">
        <v>275</v>
      </c>
      <c r="B27" s="318" t="s">
        <v>946</v>
      </c>
      <c r="C27" s="453">
        <v>23000</v>
      </c>
      <c r="D27" s="453">
        <v>23000</v>
      </c>
      <c r="E27" s="455">
        <v>30582.3</v>
      </c>
      <c r="F27" s="451">
        <f t="shared" si="1"/>
        <v>132.96652173913043</v>
      </c>
      <c r="G27" s="451">
        <f t="shared" si="0"/>
        <v>132.96652173913043</v>
      </c>
    </row>
    <row r="28" spans="1:7" ht="15.75" customHeight="1">
      <c r="A28" s="317" t="s">
        <v>947</v>
      </c>
      <c r="B28" s="223" t="s">
        <v>948</v>
      </c>
      <c r="C28" s="452">
        <f>C29+C31</f>
        <v>365980</v>
      </c>
      <c r="D28" s="458">
        <f>D29+D31</f>
        <v>386000</v>
      </c>
      <c r="E28" s="452">
        <f>E29+E31</f>
        <v>435148.9</v>
      </c>
      <c r="F28" s="451">
        <f t="shared" si="1"/>
        <v>118.89963932455325</v>
      </c>
      <c r="G28" s="451">
        <f t="shared" si="0"/>
        <v>112.73287564766841</v>
      </c>
    </row>
    <row r="29" spans="1:7" ht="35.25" customHeight="1">
      <c r="A29" s="317" t="s">
        <v>949</v>
      </c>
      <c r="B29" s="318" t="s">
        <v>950</v>
      </c>
      <c r="C29" s="452">
        <f>C30</f>
        <v>129980</v>
      </c>
      <c r="D29" s="452">
        <f>D30</f>
        <v>45000</v>
      </c>
      <c r="E29" s="452">
        <f>E30</f>
        <v>87201.6</v>
      </c>
      <c r="F29" s="451">
        <f t="shared" si="1"/>
        <v>67.08847515002309</v>
      </c>
      <c r="G29" s="451">
        <f t="shared" si="0"/>
        <v>193.78133333333335</v>
      </c>
    </row>
    <row r="30" spans="1:7" ht="48" customHeight="1">
      <c r="A30" s="317" t="s">
        <v>951</v>
      </c>
      <c r="B30" s="318" t="s">
        <v>211</v>
      </c>
      <c r="C30" s="453">
        <v>129980</v>
      </c>
      <c r="D30" s="453">
        <v>45000</v>
      </c>
      <c r="E30" s="455">
        <v>87201.6</v>
      </c>
      <c r="F30" s="451">
        <f t="shared" si="1"/>
        <v>67.08847515002309</v>
      </c>
      <c r="G30" s="451">
        <f t="shared" si="0"/>
        <v>193.78133333333335</v>
      </c>
    </row>
    <row r="31" spans="1:7" ht="34.5" customHeight="1">
      <c r="A31" s="317" t="s">
        <v>387</v>
      </c>
      <c r="B31" s="318" t="s">
        <v>388</v>
      </c>
      <c r="C31" s="452">
        <f>C32</f>
        <v>236000</v>
      </c>
      <c r="D31" s="452">
        <f>D32</f>
        <v>341000</v>
      </c>
      <c r="E31" s="452">
        <f>E32</f>
        <v>347947.3</v>
      </c>
      <c r="F31" s="451">
        <f t="shared" si="1"/>
        <v>147.4352966101695</v>
      </c>
      <c r="G31" s="451">
        <f t="shared" si="0"/>
        <v>102.03733137829911</v>
      </c>
    </row>
    <row r="32" spans="1:7" ht="45" customHeight="1">
      <c r="A32" s="317" t="s">
        <v>389</v>
      </c>
      <c r="B32" s="318" t="s">
        <v>390</v>
      </c>
      <c r="C32" s="453">
        <v>236000</v>
      </c>
      <c r="D32" s="453">
        <v>341000</v>
      </c>
      <c r="E32" s="455">
        <v>347947.3</v>
      </c>
      <c r="F32" s="451">
        <f t="shared" si="1"/>
        <v>147.4352966101695</v>
      </c>
      <c r="G32" s="451">
        <f t="shared" si="0"/>
        <v>102.03733137829911</v>
      </c>
    </row>
    <row r="33" spans="1:7" ht="27" customHeight="1">
      <c r="A33" s="317" t="s">
        <v>391</v>
      </c>
      <c r="B33" s="318" t="s">
        <v>392</v>
      </c>
      <c r="C33" s="452">
        <f>C34+C36</f>
        <v>16712</v>
      </c>
      <c r="D33" s="452">
        <f>D34+D36</f>
        <v>17200</v>
      </c>
      <c r="E33" s="452">
        <f>E34+E36</f>
        <v>17618</v>
      </c>
      <c r="F33" s="451">
        <f t="shared" si="1"/>
        <v>105.421254188607</v>
      </c>
      <c r="G33" s="451">
        <f t="shared" si="0"/>
        <v>102.43023255813955</v>
      </c>
    </row>
    <row r="34" spans="1:7" ht="37.5" customHeight="1">
      <c r="A34" s="317" t="s">
        <v>393</v>
      </c>
      <c r="B34" s="318" t="s">
        <v>394</v>
      </c>
      <c r="C34" s="452">
        <f>C35</f>
        <v>15000</v>
      </c>
      <c r="D34" s="452">
        <f>D35</f>
        <v>16500</v>
      </c>
      <c r="E34" s="452">
        <f>E35</f>
        <v>16775</v>
      </c>
      <c r="F34" s="451">
        <f t="shared" si="1"/>
        <v>111.83333333333334</v>
      </c>
      <c r="G34" s="451">
        <f t="shared" si="0"/>
        <v>101.66666666666666</v>
      </c>
    </row>
    <row r="35" spans="1:7" ht="36" customHeight="1">
      <c r="A35" s="317" t="s">
        <v>395</v>
      </c>
      <c r="B35" s="318" t="s">
        <v>396</v>
      </c>
      <c r="C35" s="453">
        <v>15000</v>
      </c>
      <c r="D35" s="453">
        <v>16500</v>
      </c>
      <c r="E35" s="455">
        <v>16775</v>
      </c>
      <c r="F35" s="451">
        <f t="shared" si="1"/>
        <v>111.83333333333334</v>
      </c>
      <c r="G35" s="451">
        <f t="shared" si="0"/>
        <v>101.66666666666666</v>
      </c>
    </row>
    <row r="36" spans="1:7" ht="25.5">
      <c r="A36" s="317" t="s">
        <v>397</v>
      </c>
      <c r="B36" s="318" t="s">
        <v>398</v>
      </c>
      <c r="C36" s="452">
        <f>C37+C38</f>
        <v>1712</v>
      </c>
      <c r="D36" s="452">
        <f>D37+D38</f>
        <v>700</v>
      </c>
      <c r="E36" s="452">
        <f>E37+E38</f>
        <v>843</v>
      </c>
      <c r="F36" s="451">
        <f t="shared" si="1"/>
        <v>49.24065420560748</v>
      </c>
      <c r="G36" s="451">
        <f t="shared" si="0"/>
        <v>120.42857142857142</v>
      </c>
    </row>
    <row r="37" spans="1:7" ht="48">
      <c r="A37" s="317" t="s">
        <v>986</v>
      </c>
      <c r="B37" s="219" t="s">
        <v>987</v>
      </c>
      <c r="C37" s="453">
        <v>1512</v>
      </c>
      <c r="D37" s="453">
        <v>0</v>
      </c>
      <c r="E37" s="454">
        <v>0</v>
      </c>
      <c r="F37" s="451">
        <f t="shared" si="1"/>
        <v>0</v>
      </c>
      <c r="G37" s="451"/>
    </row>
    <row r="38" spans="1:7" ht="26.25" customHeight="1">
      <c r="A38" s="317" t="s">
        <v>399</v>
      </c>
      <c r="B38" s="318" t="s">
        <v>400</v>
      </c>
      <c r="C38" s="453">
        <v>200</v>
      </c>
      <c r="D38" s="453">
        <v>700</v>
      </c>
      <c r="E38" s="455">
        <v>843</v>
      </c>
      <c r="F38" s="451" t="s">
        <v>1212</v>
      </c>
      <c r="G38" s="451">
        <f t="shared" si="0"/>
        <v>120.42857142857142</v>
      </c>
    </row>
    <row r="39" spans="1:7" ht="29.25" customHeight="1">
      <c r="A39" s="317" t="s">
        <v>401</v>
      </c>
      <c r="B39" s="318" t="s">
        <v>402</v>
      </c>
      <c r="C39" s="458">
        <f>C40+C45+C47+C42</f>
        <v>0</v>
      </c>
      <c r="D39" s="458">
        <f>D40+D45+D47+D42</f>
        <v>852.7</v>
      </c>
      <c r="E39" s="458">
        <f>E40+E45+E47+E42</f>
        <v>1002.2</v>
      </c>
      <c r="F39" s="451"/>
      <c r="G39" s="451">
        <f t="shared" si="0"/>
        <v>117.53254368476604</v>
      </c>
    </row>
    <row r="40" spans="1:7" ht="39" customHeight="1">
      <c r="A40" s="317" t="s">
        <v>403</v>
      </c>
      <c r="B40" s="321" t="s">
        <v>404</v>
      </c>
      <c r="C40" s="452">
        <f>SUM(C41)</f>
        <v>0</v>
      </c>
      <c r="D40" s="452">
        <f>SUM(D41)</f>
        <v>3.3</v>
      </c>
      <c r="E40" s="452">
        <f>SUM(E41)</f>
        <v>3.2</v>
      </c>
      <c r="F40" s="451"/>
      <c r="G40" s="451">
        <f t="shared" si="0"/>
        <v>96.96969696969698</v>
      </c>
    </row>
    <row r="41" spans="1:7" ht="38.25">
      <c r="A41" s="317" t="s">
        <v>405</v>
      </c>
      <c r="B41" s="321" t="s">
        <v>406</v>
      </c>
      <c r="C41" s="453">
        <v>0</v>
      </c>
      <c r="D41" s="453">
        <v>3.3</v>
      </c>
      <c r="E41" s="459">
        <v>3.2</v>
      </c>
      <c r="F41" s="451"/>
      <c r="G41" s="451">
        <f t="shared" si="0"/>
        <v>96.96969696969698</v>
      </c>
    </row>
    <row r="42" spans="1:7" ht="15">
      <c r="A42" s="317" t="s">
        <v>407</v>
      </c>
      <c r="B42" s="321" t="s">
        <v>408</v>
      </c>
      <c r="C42" s="452">
        <f aca="true" t="shared" si="2" ref="C42:E43">SUM(C43)</f>
        <v>0</v>
      </c>
      <c r="D42" s="452">
        <f t="shared" si="2"/>
        <v>845.1</v>
      </c>
      <c r="E42" s="452">
        <f t="shared" si="2"/>
        <v>990</v>
      </c>
      <c r="F42" s="451"/>
      <c r="G42" s="451">
        <f t="shared" si="0"/>
        <v>117.14589989350372</v>
      </c>
    </row>
    <row r="43" spans="1:7" ht="25.5">
      <c r="A43" s="317" t="s">
        <v>409</v>
      </c>
      <c r="B43" s="321" t="s">
        <v>410</v>
      </c>
      <c r="C43" s="452">
        <f t="shared" si="2"/>
        <v>0</v>
      </c>
      <c r="D43" s="452">
        <f t="shared" si="2"/>
        <v>845.1</v>
      </c>
      <c r="E43" s="452">
        <f t="shared" si="2"/>
        <v>990</v>
      </c>
      <c r="F43" s="451"/>
      <c r="G43" s="451">
        <f t="shared" si="0"/>
        <v>117.14589989350372</v>
      </c>
    </row>
    <row r="44" spans="1:7" ht="25.5">
      <c r="A44" s="317" t="s">
        <v>620</v>
      </c>
      <c r="B44" s="321" t="s">
        <v>1010</v>
      </c>
      <c r="C44" s="453">
        <v>0</v>
      </c>
      <c r="D44" s="453">
        <v>845.1</v>
      </c>
      <c r="E44" s="454">
        <v>990</v>
      </c>
      <c r="F44" s="451"/>
      <c r="G44" s="451">
        <f t="shared" si="0"/>
        <v>117.14589989350372</v>
      </c>
    </row>
    <row r="45" spans="1:7" ht="27.75" customHeight="1">
      <c r="A45" s="317" t="s">
        <v>1011</v>
      </c>
      <c r="B45" s="318" t="s">
        <v>1012</v>
      </c>
      <c r="C45" s="452">
        <f>SUM(C46)</f>
        <v>0</v>
      </c>
      <c r="D45" s="452">
        <f>SUM(D46)</f>
        <v>3</v>
      </c>
      <c r="E45" s="452">
        <f>SUM(E46)</f>
        <v>6.5</v>
      </c>
      <c r="F45" s="451"/>
      <c r="G45" s="451" t="s">
        <v>1212</v>
      </c>
    </row>
    <row r="46" spans="1:7" ht="15">
      <c r="A46" s="317" t="s">
        <v>1013</v>
      </c>
      <c r="B46" s="318" t="s">
        <v>1014</v>
      </c>
      <c r="C46" s="453">
        <v>0</v>
      </c>
      <c r="D46" s="455">
        <v>3</v>
      </c>
      <c r="E46" s="454">
        <v>6.5</v>
      </c>
      <c r="F46" s="451"/>
      <c r="G46" s="451" t="s">
        <v>1212</v>
      </c>
    </row>
    <row r="47" spans="1:7" ht="25.5">
      <c r="A47" s="320" t="s">
        <v>1015</v>
      </c>
      <c r="B47" s="318" t="s">
        <v>414</v>
      </c>
      <c r="C47" s="452">
        <f>SUM(C48+C50+C52)</f>
        <v>0</v>
      </c>
      <c r="D47" s="452">
        <f>SUM(D48+D50+D52)</f>
        <v>1.3</v>
      </c>
      <c r="E47" s="452">
        <f>SUM(E48+E50+E52)</f>
        <v>2.5</v>
      </c>
      <c r="F47" s="451"/>
      <c r="G47" s="451">
        <f t="shared" si="0"/>
        <v>192.3076923076923</v>
      </c>
    </row>
    <row r="48" spans="1:7" ht="15">
      <c r="A48" s="320" t="s">
        <v>415</v>
      </c>
      <c r="B48" s="321" t="s">
        <v>416</v>
      </c>
      <c r="C48" s="452">
        <f>SUM(C49)</f>
        <v>0</v>
      </c>
      <c r="D48" s="452">
        <f>SUM(D49)</f>
        <v>0.8</v>
      </c>
      <c r="E48" s="452">
        <f>SUM(E49)</f>
        <v>1.1</v>
      </c>
      <c r="F48" s="451"/>
      <c r="G48" s="451">
        <f t="shared" si="0"/>
        <v>137.5</v>
      </c>
    </row>
    <row r="49" spans="1:7" ht="25.5">
      <c r="A49" s="320" t="s">
        <v>621</v>
      </c>
      <c r="B49" s="321" t="s">
        <v>417</v>
      </c>
      <c r="C49" s="453">
        <v>0</v>
      </c>
      <c r="D49" s="455">
        <v>0.8</v>
      </c>
      <c r="E49" s="454">
        <v>1.1</v>
      </c>
      <c r="F49" s="451"/>
      <c r="G49" s="451">
        <f t="shared" si="0"/>
        <v>137.5</v>
      </c>
    </row>
    <row r="50" spans="1:7" ht="38.25">
      <c r="A50" s="320" t="s">
        <v>418</v>
      </c>
      <c r="B50" s="321" t="s">
        <v>1476</v>
      </c>
      <c r="C50" s="452">
        <f>SUM(C51)</f>
        <v>0</v>
      </c>
      <c r="D50" s="452">
        <f>SUM(D51)</f>
        <v>0.3</v>
      </c>
      <c r="E50" s="452">
        <f>SUM(E51)</f>
        <v>1.2</v>
      </c>
      <c r="F50" s="451"/>
      <c r="G50" s="451" t="s">
        <v>1212</v>
      </c>
    </row>
    <row r="51" spans="1:7" ht="51">
      <c r="A51" s="320" t="s">
        <v>622</v>
      </c>
      <c r="B51" s="321" t="s">
        <v>1477</v>
      </c>
      <c r="C51" s="453">
        <v>0</v>
      </c>
      <c r="D51" s="455">
        <v>0.3</v>
      </c>
      <c r="E51" s="460">
        <v>1.2</v>
      </c>
      <c r="F51" s="451"/>
      <c r="G51" s="451" t="s">
        <v>1212</v>
      </c>
    </row>
    <row r="52" spans="1:7" ht="15">
      <c r="A52" s="320" t="s">
        <v>1478</v>
      </c>
      <c r="B52" s="321" t="s">
        <v>1479</v>
      </c>
      <c r="C52" s="452">
        <f>SUM(C53)</f>
        <v>0</v>
      </c>
      <c r="D52" s="452">
        <f>SUM(D53)</f>
        <v>0.2</v>
      </c>
      <c r="E52" s="452">
        <f>SUM(E53)</f>
        <v>0.2</v>
      </c>
      <c r="F52" s="451"/>
      <c r="G52" s="451">
        <f t="shared" si="0"/>
        <v>100</v>
      </c>
    </row>
    <row r="53" spans="1:7" ht="25.5">
      <c r="A53" s="320" t="s">
        <v>623</v>
      </c>
      <c r="B53" s="321" t="s">
        <v>1480</v>
      </c>
      <c r="C53" s="453">
        <v>0</v>
      </c>
      <c r="D53" s="453">
        <v>0.2</v>
      </c>
      <c r="E53" s="457">
        <v>0.2</v>
      </c>
      <c r="F53" s="451"/>
      <c r="G53" s="451">
        <f t="shared" si="0"/>
        <v>100</v>
      </c>
    </row>
    <row r="54" spans="1:7" ht="37.5" customHeight="1">
      <c r="A54" s="320" t="s">
        <v>1481</v>
      </c>
      <c r="B54" s="321" t="s">
        <v>1482</v>
      </c>
      <c r="C54" s="452">
        <f>SUM(C55+C57+C59+C66+C69)</f>
        <v>356503</v>
      </c>
      <c r="D54" s="452">
        <f>SUM(D55+D57+D59+D66+D69)</f>
        <v>456696.9</v>
      </c>
      <c r="E54" s="452">
        <f>SUM(E55+E57+E59+E66+E69)</f>
        <v>470605.3</v>
      </c>
      <c r="F54" s="451">
        <f t="shared" si="1"/>
        <v>132.00598592438212</v>
      </c>
      <c r="G54" s="451">
        <f t="shared" si="0"/>
        <v>103.04543341546658</v>
      </c>
    </row>
    <row r="55" spans="1:7" ht="48" customHeight="1">
      <c r="A55" s="320" t="s">
        <v>1483</v>
      </c>
      <c r="B55" s="321" t="s">
        <v>624</v>
      </c>
      <c r="C55" s="452">
        <f>SUM(C56)</f>
        <v>1354</v>
      </c>
      <c r="D55" s="452">
        <f>SUM(D56)</f>
        <v>1546.9</v>
      </c>
      <c r="E55" s="452">
        <f>SUM(E56)</f>
        <v>1546.9</v>
      </c>
      <c r="F55" s="451">
        <f t="shared" si="1"/>
        <v>114.24667651403252</v>
      </c>
      <c r="G55" s="451">
        <f t="shared" si="0"/>
        <v>100</v>
      </c>
    </row>
    <row r="56" spans="1:7" ht="38.25">
      <c r="A56" s="320" t="s">
        <v>1484</v>
      </c>
      <c r="B56" s="321" t="s">
        <v>625</v>
      </c>
      <c r="C56" s="453">
        <v>1354</v>
      </c>
      <c r="D56" s="457">
        <v>1546.9</v>
      </c>
      <c r="E56" s="457">
        <v>1546.9</v>
      </c>
      <c r="F56" s="451">
        <f t="shared" si="1"/>
        <v>114.24667651403252</v>
      </c>
      <c r="G56" s="451">
        <f t="shared" si="0"/>
        <v>100</v>
      </c>
    </row>
    <row r="57" spans="1:7" ht="31.5" customHeight="1" hidden="1">
      <c r="A57" s="320" t="s">
        <v>1485</v>
      </c>
      <c r="B57" s="321" t="s">
        <v>1486</v>
      </c>
      <c r="C57" s="452">
        <f>SUM(C58)</f>
        <v>0</v>
      </c>
      <c r="D57" s="452">
        <f>SUM(D58)</f>
        <v>0</v>
      </c>
      <c r="E57" s="452">
        <f>SUM(E58)</f>
        <v>0</v>
      </c>
      <c r="F57" s="451"/>
      <c r="G57" s="451"/>
    </row>
    <row r="58" spans="1:7" ht="29.25" customHeight="1" hidden="1">
      <c r="A58" s="320" t="s">
        <v>1487</v>
      </c>
      <c r="B58" s="321" t="s">
        <v>1488</v>
      </c>
      <c r="C58" s="453"/>
      <c r="D58" s="453"/>
      <c r="E58" s="457"/>
      <c r="F58" s="451"/>
      <c r="G58" s="451"/>
    </row>
    <row r="59" spans="1:7" ht="66" customHeight="1">
      <c r="A59" s="320" t="s">
        <v>1489</v>
      </c>
      <c r="B59" s="321" t="s">
        <v>1490</v>
      </c>
      <c r="C59" s="458">
        <f>C60+C64</f>
        <v>351849</v>
      </c>
      <c r="D59" s="458">
        <f>D60+D64</f>
        <v>451000</v>
      </c>
      <c r="E59" s="458">
        <f>E60+E64</f>
        <v>464824.1</v>
      </c>
      <c r="F59" s="451">
        <f t="shared" si="1"/>
        <v>132.1089728832539</v>
      </c>
      <c r="G59" s="451">
        <f t="shared" si="0"/>
        <v>103.06521064301552</v>
      </c>
    </row>
    <row r="60" spans="1:7" ht="57" customHeight="1">
      <c r="A60" s="322" t="s">
        <v>1491</v>
      </c>
      <c r="B60" s="318" t="s">
        <v>1492</v>
      </c>
      <c r="C60" s="452">
        <f>C61</f>
        <v>204529</v>
      </c>
      <c r="D60" s="452">
        <f>D61</f>
        <v>310000</v>
      </c>
      <c r="E60" s="452">
        <f>E61</f>
        <v>322264.7</v>
      </c>
      <c r="F60" s="451">
        <f t="shared" si="1"/>
        <v>157.56430628419443</v>
      </c>
      <c r="G60" s="451">
        <f t="shared" si="0"/>
        <v>103.95635483870969</v>
      </c>
    </row>
    <row r="61" spans="1:7" ht="33.75" customHeight="1">
      <c r="A61" s="322" t="s">
        <v>626</v>
      </c>
      <c r="B61" s="318" t="s">
        <v>1493</v>
      </c>
      <c r="C61" s="456">
        <v>204529</v>
      </c>
      <c r="D61" s="456">
        <v>310000</v>
      </c>
      <c r="E61" s="456">
        <v>322264.7</v>
      </c>
      <c r="F61" s="451">
        <f t="shared" si="1"/>
        <v>157.56430628419443</v>
      </c>
      <c r="G61" s="451">
        <f t="shared" si="0"/>
        <v>103.95635483870969</v>
      </c>
    </row>
    <row r="62" spans="1:7" ht="38.25" hidden="1">
      <c r="A62" s="317" t="s">
        <v>1494</v>
      </c>
      <c r="B62" s="323" t="s">
        <v>1495</v>
      </c>
      <c r="C62" s="452">
        <f>C63</f>
        <v>0</v>
      </c>
      <c r="D62" s="452">
        <f>D63</f>
        <v>0</v>
      </c>
      <c r="E62" s="452">
        <f>E63</f>
        <v>0</v>
      </c>
      <c r="F62" s="451"/>
      <c r="G62" s="451"/>
    </row>
    <row r="63" spans="1:7" ht="49.5" customHeight="1" hidden="1">
      <c r="A63" s="317" t="s">
        <v>1496</v>
      </c>
      <c r="B63" s="318" t="s">
        <v>775</v>
      </c>
      <c r="C63" s="453">
        <v>0</v>
      </c>
      <c r="D63" s="455">
        <v>0</v>
      </c>
      <c r="E63" s="460"/>
      <c r="F63" s="451"/>
      <c r="G63" s="451"/>
    </row>
    <row r="64" spans="1:7" ht="54.75" customHeight="1">
      <c r="A64" s="317" t="s">
        <v>776</v>
      </c>
      <c r="B64" s="318" t="s">
        <v>777</v>
      </c>
      <c r="C64" s="452">
        <f>C65</f>
        <v>147320</v>
      </c>
      <c r="D64" s="452">
        <f>D65</f>
        <v>141000</v>
      </c>
      <c r="E64" s="452">
        <f>E65</f>
        <v>142559.4</v>
      </c>
      <c r="F64" s="451">
        <f t="shared" si="1"/>
        <v>96.76853108878632</v>
      </c>
      <c r="G64" s="451">
        <f t="shared" si="0"/>
        <v>101.1059574468085</v>
      </c>
    </row>
    <row r="65" spans="1:7" ht="54.75" customHeight="1">
      <c r="A65" s="317" t="s">
        <v>778</v>
      </c>
      <c r="B65" s="318" t="s">
        <v>590</v>
      </c>
      <c r="C65" s="453">
        <v>147320</v>
      </c>
      <c r="D65" s="453">
        <v>141000</v>
      </c>
      <c r="E65" s="453">
        <v>142559.4</v>
      </c>
      <c r="F65" s="451">
        <f t="shared" si="1"/>
        <v>96.76853108878632</v>
      </c>
      <c r="G65" s="451">
        <f t="shared" si="0"/>
        <v>101.1059574468085</v>
      </c>
    </row>
    <row r="66" spans="1:7" ht="15" hidden="1">
      <c r="A66" s="317" t="s">
        <v>591</v>
      </c>
      <c r="B66" s="318" t="s">
        <v>592</v>
      </c>
      <c r="C66" s="452">
        <f aca="true" t="shared" si="3" ref="C66:E67">C67</f>
        <v>0</v>
      </c>
      <c r="D66" s="452">
        <f t="shared" si="3"/>
        <v>0</v>
      </c>
      <c r="E66" s="452">
        <f t="shared" si="3"/>
        <v>0</v>
      </c>
      <c r="F66" s="451"/>
      <c r="G66" s="451"/>
    </row>
    <row r="67" spans="1:7" ht="38.25" hidden="1">
      <c r="A67" s="317" t="s">
        <v>593</v>
      </c>
      <c r="B67" s="318" t="s">
        <v>594</v>
      </c>
      <c r="C67" s="452">
        <f t="shared" si="3"/>
        <v>0</v>
      </c>
      <c r="D67" s="452">
        <f t="shared" si="3"/>
        <v>0</v>
      </c>
      <c r="E67" s="452">
        <f t="shared" si="3"/>
        <v>0</v>
      </c>
      <c r="F67" s="451"/>
      <c r="G67" s="451"/>
    </row>
    <row r="68" spans="1:7" ht="51.75" customHeight="1" hidden="1">
      <c r="A68" s="317" t="s">
        <v>952</v>
      </c>
      <c r="B68" s="318" t="s">
        <v>953</v>
      </c>
      <c r="C68" s="453">
        <v>0</v>
      </c>
      <c r="D68" s="453">
        <v>0</v>
      </c>
      <c r="E68" s="455"/>
      <c r="F68" s="451"/>
      <c r="G68" s="451"/>
    </row>
    <row r="69" spans="1:7" ht="51" customHeight="1">
      <c r="A69" s="317" t="s">
        <v>954</v>
      </c>
      <c r="B69" s="324" t="s">
        <v>941</v>
      </c>
      <c r="C69" s="452">
        <f>C70</f>
        <v>3300</v>
      </c>
      <c r="D69" s="452">
        <f>D70</f>
        <v>4150</v>
      </c>
      <c r="E69" s="452">
        <f>E70</f>
        <v>4234.3</v>
      </c>
      <c r="F69" s="451">
        <f t="shared" si="1"/>
        <v>128.3121212121212</v>
      </c>
      <c r="G69" s="451">
        <f t="shared" si="0"/>
        <v>102.03132530120482</v>
      </c>
    </row>
    <row r="70" spans="1:7" ht="51" customHeight="1">
      <c r="A70" s="317" t="s">
        <v>942</v>
      </c>
      <c r="B70" s="325" t="s">
        <v>943</v>
      </c>
      <c r="C70" s="452">
        <f>SUM(C71)</f>
        <v>3300</v>
      </c>
      <c r="D70" s="452">
        <f>SUM(D71)</f>
        <v>4150</v>
      </c>
      <c r="E70" s="452">
        <f>SUM(E71)</f>
        <v>4234.3</v>
      </c>
      <c r="F70" s="451">
        <f t="shared" si="1"/>
        <v>128.3121212121212</v>
      </c>
      <c r="G70" s="451">
        <f t="shared" si="0"/>
        <v>102.03132530120482</v>
      </c>
    </row>
    <row r="71" spans="1:7" ht="63.75">
      <c r="A71" s="317" t="s">
        <v>944</v>
      </c>
      <c r="B71" s="321" t="s">
        <v>1307</v>
      </c>
      <c r="C71" s="453">
        <v>3300</v>
      </c>
      <c r="D71" s="453">
        <v>4150</v>
      </c>
      <c r="E71" s="455">
        <v>4234.3</v>
      </c>
      <c r="F71" s="451">
        <f t="shared" si="1"/>
        <v>128.3121212121212</v>
      </c>
      <c r="G71" s="451">
        <f t="shared" si="0"/>
        <v>102.03132530120482</v>
      </c>
    </row>
    <row r="72" spans="1:7" ht="15">
      <c r="A72" s="317" t="s">
        <v>1308</v>
      </c>
      <c r="B72" s="323" t="s">
        <v>1309</v>
      </c>
      <c r="C72" s="452">
        <f>SUM(C73)</f>
        <v>4000</v>
      </c>
      <c r="D72" s="452">
        <f>D73</f>
        <v>4000</v>
      </c>
      <c r="E72" s="452">
        <f>SUM(E73)</f>
        <v>3916.1</v>
      </c>
      <c r="F72" s="451">
        <f t="shared" si="1"/>
        <v>97.90249999999999</v>
      </c>
      <c r="G72" s="451">
        <f t="shared" si="0"/>
        <v>97.90249999999999</v>
      </c>
    </row>
    <row r="73" spans="1:7" ht="15">
      <c r="A73" s="317" t="s">
        <v>1310</v>
      </c>
      <c r="B73" s="318" t="s">
        <v>1311</v>
      </c>
      <c r="C73" s="453">
        <v>4000</v>
      </c>
      <c r="D73" s="453">
        <f>D74+D75+D76+D77</f>
        <v>4000</v>
      </c>
      <c r="E73" s="453">
        <f>E74+E75+E76+E77</f>
        <v>3916.1</v>
      </c>
      <c r="F73" s="451">
        <f t="shared" si="1"/>
        <v>97.90249999999999</v>
      </c>
      <c r="G73" s="451">
        <f t="shared" si="0"/>
        <v>97.90249999999999</v>
      </c>
    </row>
    <row r="74" spans="1:7" ht="24">
      <c r="A74" s="317" t="s">
        <v>627</v>
      </c>
      <c r="B74" s="219" t="s">
        <v>628</v>
      </c>
      <c r="C74" s="453"/>
      <c r="D74" s="453">
        <v>400</v>
      </c>
      <c r="E74" s="455">
        <v>335.7</v>
      </c>
      <c r="F74" s="451"/>
      <c r="G74" s="451">
        <f t="shared" si="0"/>
        <v>83.925</v>
      </c>
    </row>
    <row r="75" spans="1:7" ht="30.75" customHeight="1">
      <c r="A75" s="317" t="s">
        <v>629</v>
      </c>
      <c r="B75" s="219" t="s">
        <v>630</v>
      </c>
      <c r="C75" s="453">
        <v>0</v>
      </c>
      <c r="D75" s="453">
        <v>200</v>
      </c>
      <c r="E75" s="455">
        <v>208</v>
      </c>
      <c r="F75" s="451"/>
      <c r="G75" s="451">
        <f t="shared" si="0"/>
        <v>104</v>
      </c>
    </row>
    <row r="76" spans="1:7" ht="27" customHeight="1">
      <c r="A76" s="317" t="s">
        <v>631</v>
      </c>
      <c r="B76" s="219" t="s">
        <v>632</v>
      </c>
      <c r="C76" s="453">
        <v>0</v>
      </c>
      <c r="D76" s="453">
        <v>1100</v>
      </c>
      <c r="E76" s="455">
        <v>1133.2</v>
      </c>
      <c r="F76" s="451"/>
      <c r="G76" s="451">
        <f t="shared" si="0"/>
        <v>103.01818181818183</v>
      </c>
    </row>
    <row r="77" spans="1:7" ht="24" customHeight="1">
      <c r="A77" s="317" t="s">
        <v>633</v>
      </c>
      <c r="B77" s="219" t="s">
        <v>634</v>
      </c>
      <c r="C77" s="453">
        <v>0</v>
      </c>
      <c r="D77" s="453">
        <v>2300</v>
      </c>
      <c r="E77" s="455">
        <v>2239.2</v>
      </c>
      <c r="F77" s="451"/>
      <c r="G77" s="451">
        <f t="shared" si="0"/>
        <v>97.35652173913043</v>
      </c>
    </row>
    <row r="78" spans="1:7" ht="27.75" customHeight="1">
      <c r="A78" s="326" t="s">
        <v>1312</v>
      </c>
      <c r="B78" s="318" t="s">
        <v>1313</v>
      </c>
      <c r="C78" s="452">
        <f>C84+C86</f>
        <v>2400</v>
      </c>
      <c r="D78" s="452">
        <f>D84+D86</f>
        <v>3593.2</v>
      </c>
      <c r="E78" s="452">
        <f>E84+E86</f>
        <v>3717.6</v>
      </c>
      <c r="F78" s="451">
        <f>E78/C78*100</f>
        <v>154.9</v>
      </c>
      <c r="G78" s="451">
        <f aca="true" t="shared" si="4" ref="G78:G141">E78/D78*100</f>
        <v>103.46209506846265</v>
      </c>
    </row>
    <row r="79" spans="1:7" ht="13.5" customHeight="1" hidden="1">
      <c r="A79" s="326" t="s">
        <v>1314</v>
      </c>
      <c r="B79" s="318" t="s">
        <v>1315</v>
      </c>
      <c r="C79" s="452">
        <f>C80+C82</f>
        <v>0</v>
      </c>
      <c r="D79" s="452">
        <f>D80+D82</f>
        <v>0</v>
      </c>
      <c r="E79" s="452">
        <f>E80+E82</f>
        <v>0</v>
      </c>
      <c r="F79" s="451"/>
      <c r="G79" s="451"/>
    </row>
    <row r="80" spans="1:7" ht="25.5" hidden="1">
      <c r="A80" s="326" t="s">
        <v>1316</v>
      </c>
      <c r="B80" s="318" t="s">
        <v>1317</v>
      </c>
      <c r="C80" s="452">
        <f>SUM(C81)</f>
        <v>0</v>
      </c>
      <c r="D80" s="452">
        <f>SUM(D81)</f>
        <v>0</v>
      </c>
      <c r="E80" s="452">
        <f>SUM(E81)</f>
        <v>0</v>
      </c>
      <c r="F80" s="451"/>
      <c r="G80" s="451"/>
    </row>
    <row r="81" spans="1:7" ht="25.5" hidden="1">
      <c r="A81" s="327" t="s">
        <v>1318</v>
      </c>
      <c r="B81" s="318" t="s">
        <v>1319</v>
      </c>
      <c r="C81" s="453">
        <v>0</v>
      </c>
      <c r="D81" s="457">
        <v>0</v>
      </c>
      <c r="E81" s="461">
        <v>0</v>
      </c>
      <c r="F81" s="451"/>
      <c r="G81" s="451"/>
    </row>
    <row r="82" spans="1:7" ht="15" hidden="1">
      <c r="A82" s="327" t="s">
        <v>1320</v>
      </c>
      <c r="B82" s="318" t="s">
        <v>1321</v>
      </c>
      <c r="C82" s="452">
        <f>C83</f>
        <v>0</v>
      </c>
      <c r="D82" s="452">
        <f>D83</f>
        <v>0</v>
      </c>
      <c r="E82" s="452">
        <f>E83</f>
        <v>0</v>
      </c>
      <c r="F82" s="451"/>
      <c r="G82" s="451"/>
    </row>
    <row r="83" spans="1:7" ht="25.5" hidden="1">
      <c r="A83" s="327" t="s">
        <v>1322</v>
      </c>
      <c r="B83" s="318" t="s">
        <v>1323</v>
      </c>
      <c r="C83" s="453">
        <v>0</v>
      </c>
      <c r="D83" s="457">
        <v>0</v>
      </c>
      <c r="E83" s="462">
        <v>0</v>
      </c>
      <c r="F83" s="451"/>
      <c r="G83" s="451"/>
    </row>
    <row r="84" spans="1:7" ht="19.5" customHeight="1">
      <c r="A84" s="327" t="s">
        <v>635</v>
      </c>
      <c r="B84" s="222" t="s">
        <v>636</v>
      </c>
      <c r="C84" s="452">
        <f>C85</f>
        <v>2400</v>
      </c>
      <c r="D84" s="452">
        <f>D85</f>
        <v>3100</v>
      </c>
      <c r="E84" s="452">
        <f>E85</f>
        <v>3312.4</v>
      </c>
      <c r="F84" s="451">
        <f>E84/C84*100</f>
        <v>138.01666666666668</v>
      </c>
      <c r="G84" s="451">
        <f t="shared" si="4"/>
        <v>106.8516129032258</v>
      </c>
    </row>
    <row r="85" spans="1:7" ht="29.25" customHeight="1">
      <c r="A85" s="327" t="s">
        <v>637</v>
      </c>
      <c r="B85" s="222" t="s">
        <v>638</v>
      </c>
      <c r="C85" s="453">
        <v>2400</v>
      </c>
      <c r="D85" s="453">
        <v>3100</v>
      </c>
      <c r="E85" s="454">
        <v>3312.4</v>
      </c>
      <c r="F85" s="451">
        <f>E85/C85*100</f>
        <v>138.01666666666668</v>
      </c>
      <c r="G85" s="451">
        <f t="shared" si="4"/>
        <v>106.8516129032258</v>
      </c>
    </row>
    <row r="86" spans="1:7" ht="31.5" customHeight="1">
      <c r="A86" s="327" t="s">
        <v>1314</v>
      </c>
      <c r="B86" s="222" t="s">
        <v>639</v>
      </c>
      <c r="C86" s="452">
        <f>C87</f>
        <v>0</v>
      </c>
      <c r="D86" s="452">
        <f>D87</f>
        <v>493.2</v>
      </c>
      <c r="E86" s="452">
        <f>E87</f>
        <v>405.2</v>
      </c>
      <c r="F86" s="451"/>
      <c r="G86" s="451">
        <f t="shared" si="4"/>
        <v>82.15733982157339</v>
      </c>
    </row>
    <row r="87" spans="1:7" ht="25.5" customHeight="1">
      <c r="A87" s="327" t="s">
        <v>640</v>
      </c>
      <c r="B87" s="222" t="s">
        <v>641</v>
      </c>
      <c r="C87" s="453">
        <v>0</v>
      </c>
      <c r="D87" s="453">
        <v>493.2</v>
      </c>
      <c r="E87" s="454">
        <v>405.2</v>
      </c>
      <c r="F87" s="451"/>
      <c r="G87" s="451">
        <f t="shared" si="4"/>
        <v>82.15733982157339</v>
      </c>
    </row>
    <row r="88" spans="1:7" ht="32.25" customHeight="1">
      <c r="A88" s="317" t="s">
        <v>1324</v>
      </c>
      <c r="B88" s="318" t="s">
        <v>1325</v>
      </c>
      <c r="C88" s="452">
        <f>C89+C91+C95</f>
        <v>37080</v>
      </c>
      <c r="D88" s="452">
        <f>D89+D91+D95</f>
        <v>180983.2</v>
      </c>
      <c r="E88" s="452">
        <f>E89+E91+E95</f>
        <v>205118.9</v>
      </c>
      <c r="F88" s="451" t="s">
        <v>1212</v>
      </c>
      <c r="G88" s="451">
        <f t="shared" si="4"/>
        <v>113.33587868929268</v>
      </c>
    </row>
    <row r="89" spans="1:7" ht="30" customHeight="1">
      <c r="A89" s="317" t="s">
        <v>1326</v>
      </c>
      <c r="B89" s="318" t="s">
        <v>1327</v>
      </c>
      <c r="C89" s="452">
        <f>C90</f>
        <v>180</v>
      </c>
      <c r="D89" s="452">
        <f>D90</f>
        <v>677.7</v>
      </c>
      <c r="E89" s="452">
        <f>E90</f>
        <v>1036.4</v>
      </c>
      <c r="F89" s="451" t="s">
        <v>1212</v>
      </c>
      <c r="G89" s="451">
        <f t="shared" si="4"/>
        <v>152.92902464217207</v>
      </c>
    </row>
    <row r="90" spans="1:7" ht="33" customHeight="1">
      <c r="A90" s="317" t="s">
        <v>1328</v>
      </c>
      <c r="B90" s="318" t="s">
        <v>1329</v>
      </c>
      <c r="C90" s="453">
        <v>180</v>
      </c>
      <c r="D90" s="453">
        <v>677.7</v>
      </c>
      <c r="E90" s="455">
        <v>1036.4</v>
      </c>
      <c r="F90" s="451" t="s">
        <v>1212</v>
      </c>
      <c r="G90" s="451">
        <f t="shared" si="4"/>
        <v>152.92902464217207</v>
      </c>
    </row>
    <row r="91" spans="1:7" ht="56.25" customHeight="1">
      <c r="A91" s="327" t="s">
        <v>1330</v>
      </c>
      <c r="B91" s="318" t="s">
        <v>1331</v>
      </c>
      <c r="C91" s="452">
        <f>C92</f>
        <v>900</v>
      </c>
      <c r="D91" s="452">
        <f>D92</f>
        <v>305.5</v>
      </c>
      <c r="E91" s="452">
        <f>E92</f>
        <v>305.5</v>
      </c>
      <c r="F91" s="451">
        <f>E91/C91*100</f>
        <v>33.94444444444444</v>
      </c>
      <c r="G91" s="451">
        <f t="shared" si="4"/>
        <v>100</v>
      </c>
    </row>
    <row r="92" spans="1:7" ht="62.25" customHeight="1">
      <c r="A92" s="327" t="s">
        <v>642</v>
      </c>
      <c r="B92" s="222" t="s">
        <v>40</v>
      </c>
      <c r="C92" s="452">
        <f>C93+C94</f>
        <v>900</v>
      </c>
      <c r="D92" s="452">
        <f>D93+D94</f>
        <v>305.5</v>
      </c>
      <c r="E92" s="452">
        <f>E93+E94</f>
        <v>305.5</v>
      </c>
      <c r="F92" s="451">
        <f>E92/C92*100</f>
        <v>33.94444444444444</v>
      </c>
      <c r="G92" s="451">
        <f t="shared" si="4"/>
        <v>100</v>
      </c>
    </row>
    <row r="93" spans="1:7" ht="58.5" customHeight="1">
      <c r="A93" s="317" t="s">
        <v>643</v>
      </c>
      <c r="B93" s="219" t="s">
        <v>644</v>
      </c>
      <c r="C93" s="453">
        <v>0</v>
      </c>
      <c r="D93" s="457">
        <v>29.2</v>
      </c>
      <c r="E93" s="457">
        <v>29.2</v>
      </c>
      <c r="F93" s="451"/>
      <c r="G93" s="451">
        <f t="shared" si="4"/>
        <v>100</v>
      </c>
    </row>
    <row r="94" spans="1:7" ht="63" customHeight="1">
      <c r="A94" s="317" t="s">
        <v>645</v>
      </c>
      <c r="B94" s="219" t="s">
        <v>614</v>
      </c>
      <c r="C94" s="453">
        <v>900</v>
      </c>
      <c r="D94" s="453">
        <v>276.3</v>
      </c>
      <c r="E94" s="462">
        <v>276.3</v>
      </c>
      <c r="F94" s="451">
        <f>E94/C94*100</f>
        <v>30.7</v>
      </c>
      <c r="G94" s="451">
        <f t="shared" si="4"/>
        <v>100</v>
      </c>
    </row>
    <row r="95" spans="1:7" ht="63" customHeight="1">
      <c r="A95" s="317" t="s">
        <v>663</v>
      </c>
      <c r="B95" s="318" t="s">
        <v>664</v>
      </c>
      <c r="C95" s="452">
        <f aca="true" t="shared" si="5" ref="C95:E96">C96</f>
        <v>36000</v>
      </c>
      <c r="D95" s="452">
        <f t="shared" si="5"/>
        <v>180000</v>
      </c>
      <c r="E95" s="452">
        <f t="shared" si="5"/>
        <v>203777</v>
      </c>
      <c r="F95" s="451" t="s">
        <v>1212</v>
      </c>
      <c r="G95" s="451">
        <f t="shared" si="4"/>
        <v>113.20944444444446</v>
      </c>
    </row>
    <row r="96" spans="1:7" ht="44.25" customHeight="1">
      <c r="A96" s="317" t="s">
        <v>665</v>
      </c>
      <c r="B96" s="318" t="s">
        <v>666</v>
      </c>
      <c r="C96" s="452">
        <f t="shared" si="5"/>
        <v>36000</v>
      </c>
      <c r="D96" s="452">
        <f t="shared" si="5"/>
        <v>180000</v>
      </c>
      <c r="E96" s="452">
        <f t="shared" si="5"/>
        <v>203777</v>
      </c>
      <c r="F96" s="451" t="s">
        <v>1212</v>
      </c>
      <c r="G96" s="451">
        <f t="shared" si="4"/>
        <v>113.20944444444446</v>
      </c>
    </row>
    <row r="97" spans="1:7" ht="31.5" customHeight="1">
      <c r="A97" s="317" t="s">
        <v>667</v>
      </c>
      <c r="B97" s="318" t="s">
        <v>79</v>
      </c>
      <c r="C97" s="453">
        <v>36000</v>
      </c>
      <c r="D97" s="453">
        <v>180000</v>
      </c>
      <c r="E97" s="454">
        <v>203777</v>
      </c>
      <c r="F97" s="451" t="s">
        <v>1212</v>
      </c>
      <c r="G97" s="451">
        <f t="shared" si="4"/>
        <v>113.20944444444446</v>
      </c>
    </row>
    <row r="98" spans="1:7" ht="31.5" customHeight="1">
      <c r="A98" s="317" t="s">
        <v>80</v>
      </c>
      <c r="B98" s="318" t="s">
        <v>81</v>
      </c>
      <c r="C98" s="452">
        <f>C99+C102+C104+C106+C122+C103+C108+C116+C117+C118+C119+C121</f>
        <v>18000</v>
      </c>
      <c r="D98" s="452">
        <f>D99+D102+D104+D106+D122+D103+D108+D116+D117+D118+D119+D121</f>
        <v>17080.6</v>
      </c>
      <c r="E98" s="452">
        <f>E99+E102+E104+E106+E122+E103+E108+E116+E117+E118+E119+E121</f>
        <v>17443.7</v>
      </c>
      <c r="F98" s="451">
        <f>E98/C98*100</f>
        <v>96.90944444444445</v>
      </c>
      <c r="G98" s="451">
        <f t="shared" si="4"/>
        <v>102.12580354320107</v>
      </c>
    </row>
    <row r="99" spans="1:7" ht="25.5">
      <c r="A99" s="317" t="s">
        <v>82</v>
      </c>
      <c r="B99" s="318" t="s">
        <v>83</v>
      </c>
      <c r="C99" s="452">
        <f>C100+C101</f>
        <v>300</v>
      </c>
      <c r="D99" s="452">
        <f>D100+D101</f>
        <v>500</v>
      </c>
      <c r="E99" s="452">
        <f>E100+E101</f>
        <v>484.2</v>
      </c>
      <c r="F99" s="451">
        <f>E99/C99*100</f>
        <v>161.39999999999998</v>
      </c>
      <c r="G99" s="451">
        <f t="shared" si="4"/>
        <v>96.83999999999999</v>
      </c>
    </row>
    <row r="100" spans="1:7" ht="66.75" customHeight="1">
      <c r="A100" s="317" t="s">
        <v>84</v>
      </c>
      <c r="B100" s="318" t="s">
        <v>327</v>
      </c>
      <c r="C100" s="453">
        <v>150</v>
      </c>
      <c r="D100" s="453">
        <v>360</v>
      </c>
      <c r="E100" s="454">
        <v>383.4</v>
      </c>
      <c r="F100" s="451" t="s">
        <v>1212</v>
      </c>
      <c r="G100" s="451">
        <f t="shared" si="4"/>
        <v>106.5</v>
      </c>
    </row>
    <row r="101" spans="1:7" ht="51.75" customHeight="1">
      <c r="A101" s="317" t="s">
        <v>328</v>
      </c>
      <c r="B101" s="318" t="s">
        <v>329</v>
      </c>
      <c r="C101" s="453">
        <v>150</v>
      </c>
      <c r="D101" s="453">
        <v>140</v>
      </c>
      <c r="E101" s="454">
        <v>100.8</v>
      </c>
      <c r="F101" s="451">
        <f>E101/C101*100</f>
        <v>67.19999999999999</v>
      </c>
      <c r="G101" s="451">
        <f t="shared" si="4"/>
        <v>72</v>
      </c>
    </row>
    <row r="102" spans="1:7" ht="46.5" customHeight="1">
      <c r="A102" s="317" t="s">
        <v>330</v>
      </c>
      <c r="B102" s="318" t="s">
        <v>331</v>
      </c>
      <c r="C102" s="453">
        <v>1000</v>
      </c>
      <c r="D102" s="453">
        <v>1900</v>
      </c>
      <c r="E102" s="454">
        <v>2618.6</v>
      </c>
      <c r="F102" s="451" t="s">
        <v>1212</v>
      </c>
      <c r="G102" s="451">
        <f t="shared" si="4"/>
        <v>137.82105263157894</v>
      </c>
    </row>
    <row r="103" spans="1:7" ht="42.75" customHeight="1">
      <c r="A103" s="317" t="s">
        <v>332</v>
      </c>
      <c r="B103" s="318" t="s">
        <v>333</v>
      </c>
      <c r="C103" s="453">
        <v>0</v>
      </c>
      <c r="D103" s="453">
        <v>96.6</v>
      </c>
      <c r="E103" s="454">
        <v>148.1</v>
      </c>
      <c r="F103" s="451"/>
      <c r="G103" s="451">
        <f t="shared" si="4"/>
        <v>153.31262939958592</v>
      </c>
    </row>
    <row r="104" spans="1:7" ht="36" customHeight="1" hidden="1">
      <c r="A104" s="317" t="s">
        <v>334</v>
      </c>
      <c r="B104" s="318" t="s">
        <v>1419</v>
      </c>
      <c r="C104" s="452">
        <f>SUM(C105)</f>
        <v>0</v>
      </c>
      <c r="D104" s="452">
        <f>SUM(D105)</f>
        <v>0</v>
      </c>
      <c r="E104" s="452">
        <f>SUM(E105)</f>
        <v>0</v>
      </c>
      <c r="F104" s="451"/>
      <c r="G104" s="451"/>
    </row>
    <row r="105" spans="1:7" ht="25.5" hidden="1">
      <c r="A105" s="317" t="s">
        <v>1420</v>
      </c>
      <c r="B105" s="318" t="s">
        <v>1421</v>
      </c>
      <c r="C105" s="453"/>
      <c r="D105" s="461"/>
      <c r="E105" s="461"/>
      <c r="F105" s="451"/>
      <c r="G105" s="451"/>
    </row>
    <row r="106" spans="1:7" ht="38.25" hidden="1">
      <c r="A106" s="317" t="s">
        <v>1422</v>
      </c>
      <c r="B106" s="318" t="s">
        <v>1423</v>
      </c>
      <c r="C106" s="452">
        <f>C107</f>
        <v>0</v>
      </c>
      <c r="D106" s="452">
        <f>D107</f>
        <v>0</v>
      </c>
      <c r="E106" s="452">
        <f>E107</f>
        <v>0</v>
      </c>
      <c r="F106" s="451"/>
      <c r="G106" s="451"/>
    </row>
    <row r="107" spans="1:7" ht="38.25" hidden="1">
      <c r="A107" s="317" t="s">
        <v>1424</v>
      </c>
      <c r="B107" s="318" t="s">
        <v>1221</v>
      </c>
      <c r="C107" s="453">
        <v>0</v>
      </c>
      <c r="D107" s="457">
        <v>0</v>
      </c>
      <c r="E107" s="461">
        <v>0</v>
      </c>
      <c r="F107" s="451"/>
      <c r="G107" s="451"/>
    </row>
    <row r="108" spans="1:7" ht="63.75">
      <c r="A108" s="317" t="s">
        <v>1222</v>
      </c>
      <c r="B108" s="318" t="s">
        <v>1223</v>
      </c>
      <c r="C108" s="452">
        <f>SUM(C111+C113+C114+C109+C110+C112)</f>
        <v>2520</v>
      </c>
      <c r="D108" s="452">
        <f>SUM(D111+D113+D114+D109+D110+D112)</f>
        <v>1000</v>
      </c>
      <c r="E108" s="452">
        <f>SUM(E111+E113+E114+E109+E110+E112)</f>
        <v>807.6</v>
      </c>
      <c r="F108" s="451">
        <f>E108/C108*100</f>
        <v>32.047619047619044</v>
      </c>
      <c r="G108" s="451">
        <f t="shared" si="4"/>
        <v>80.76</v>
      </c>
    </row>
    <row r="109" spans="1:7" ht="31.5" customHeight="1">
      <c r="A109" s="317" t="s">
        <v>1224</v>
      </c>
      <c r="B109" s="318" t="s">
        <v>1225</v>
      </c>
      <c r="C109" s="453">
        <v>1500</v>
      </c>
      <c r="D109" s="453">
        <v>0</v>
      </c>
      <c r="E109" s="453">
        <v>0</v>
      </c>
      <c r="F109" s="451">
        <f>E109/C109*100</f>
        <v>0</v>
      </c>
      <c r="G109" s="451"/>
    </row>
    <row r="110" spans="1:7" ht="33.75" customHeight="1" hidden="1">
      <c r="A110" s="317" t="s">
        <v>1077</v>
      </c>
      <c r="B110" s="318" t="s">
        <v>335</v>
      </c>
      <c r="C110" s="453"/>
      <c r="D110" s="453"/>
      <c r="E110" s="453"/>
      <c r="F110" s="451"/>
      <c r="G110" s="451"/>
    </row>
    <row r="111" spans="1:7" ht="24.75" customHeight="1" hidden="1">
      <c r="A111" s="317" t="s">
        <v>336</v>
      </c>
      <c r="B111" s="318" t="s">
        <v>337</v>
      </c>
      <c r="C111" s="453">
        <v>0</v>
      </c>
      <c r="D111" s="457">
        <v>0</v>
      </c>
      <c r="E111" s="457"/>
      <c r="F111" s="451"/>
      <c r="G111" s="451"/>
    </row>
    <row r="112" spans="1:7" ht="36" customHeight="1">
      <c r="A112" s="317" t="s">
        <v>338</v>
      </c>
      <c r="B112" s="318" t="s">
        <v>339</v>
      </c>
      <c r="C112" s="453">
        <v>1000</v>
      </c>
      <c r="D112" s="453">
        <v>800</v>
      </c>
      <c r="E112" s="457">
        <v>620</v>
      </c>
      <c r="F112" s="451">
        <f>E112/C112*100</f>
        <v>62</v>
      </c>
      <c r="G112" s="451">
        <f t="shared" si="4"/>
        <v>77.5</v>
      </c>
    </row>
    <row r="113" spans="1:7" ht="25.5">
      <c r="A113" s="317" t="s">
        <v>340</v>
      </c>
      <c r="B113" s="318" t="s">
        <v>341</v>
      </c>
      <c r="C113" s="453">
        <v>20</v>
      </c>
      <c r="D113" s="453">
        <v>200</v>
      </c>
      <c r="E113" s="455">
        <v>187.6</v>
      </c>
      <c r="F113" s="451" t="s">
        <v>1212</v>
      </c>
      <c r="G113" s="451">
        <f t="shared" si="4"/>
        <v>93.8</v>
      </c>
    </row>
    <row r="114" spans="1:7" ht="18.75" customHeight="1" hidden="1">
      <c r="A114" s="317" t="s">
        <v>342</v>
      </c>
      <c r="B114" s="318" t="s">
        <v>343</v>
      </c>
      <c r="C114" s="452">
        <f>C115</f>
        <v>0</v>
      </c>
      <c r="D114" s="452">
        <f>D115</f>
        <v>0</v>
      </c>
      <c r="E114" s="452">
        <f>E115</f>
        <v>0</v>
      </c>
      <c r="F114" s="451"/>
      <c r="G114" s="451"/>
    </row>
    <row r="115" spans="1:7" ht="38.25" hidden="1">
      <c r="A115" s="317" t="s">
        <v>107</v>
      </c>
      <c r="B115" s="318" t="s">
        <v>108</v>
      </c>
      <c r="C115" s="453">
        <v>0</v>
      </c>
      <c r="D115" s="457">
        <v>0</v>
      </c>
      <c r="E115" s="457"/>
      <c r="F115" s="451"/>
      <c r="G115" s="451"/>
    </row>
    <row r="116" spans="1:7" ht="25.5" hidden="1">
      <c r="A116" s="317" t="s">
        <v>109</v>
      </c>
      <c r="B116" s="318" t="s">
        <v>110</v>
      </c>
      <c r="C116" s="453">
        <v>0</v>
      </c>
      <c r="D116" s="453">
        <v>0</v>
      </c>
      <c r="E116" s="457"/>
      <c r="F116" s="451"/>
      <c r="G116" s="451"/>
    </row>
    <row r="117" spans="1:7" ht="38.25">
      <c r="A117" s="317" t="s">
        <v>111</v>
      </c>
      <c r="B117" s="318" t="s">
        <v>694</v>
      </c>
      <c r="C117" s="453">
        <v>2500</v>
      </c>
      <c r="D117" s="453">
        <v>2500</v>
      </c>
      <c r="E117" s="455">
        <v>2634.5</v>
      </c>
      <c r="F117" s="451">
        <f>E117/C117*100</f>
        <v>105.38000000000001</v>
      </c>
      <c r="G117" s="451">
        <f t="shared" si="4"/>
        <v>105.38000000000001</v>
      </c>
    </row>
    <row r="118" spans="1:7" ht="45.75" customHeight="1">
      <c r="A118" s="317" t="s">
        <v>695</v>
      </c>
      <c r="B118" s="318" t="s">
        <v>696</v>
      </c>
      <c r="C118" s="453">
        <v>0</v>
      </c>
      <c r="D118" s="453">
        <v>0</v>
      </c>
      <c r="E118" s="455">
        <v>197.9</v>
      </c>
      <c r="F118" s="451"/>
      <c r="G118" s="451"/>
    </row>
    <row r="119" spans="1:7" ht="46.5" customHeight="1" hidden="1">
      <c r="A119" s="317" t="s">
        <v>697</v>
      </c>
      <c r="B119" s="318" t="s">
        <v>698</v>
      </c>
      <c r="C119" s="452">
        <f>C120</f>
        <v>0</v>
      </c>
      <c r="D119" s="452">
        <f>D120</f>
        <v>0</v>
      </c>
      <c r="E119" s="452">
        <f>E120</f>
        <v>0</v>
      </c>
      <c r="F119" s="451"/>
      <c r="G119" s="451"/>
    </row>
    <row r="120" spans="1:7" ht="51" customHeight="1" hidden="1">
      <c r="A120" s="317" t="s">
        <v>699</v>
      </c>
      <c r="B120" s="318" t="s">
        <v>700</v>
      </c>
      <c r="C120" s="453">
        <v>0</v>
      </c>
      <c r="D120" s="453">
        <v>0</v>
      </c>
      <c r="E120" s="455"/>
      <c r="F120" s="451"/>
      <c r="G120" s="451"/>
    </row>
    <row r="121" spans="1:7" ht="55.5" customHeight="1">
      <c r="A121" s="317" t="s">
        <v>646</v>
      </c>
      <c r="B121" s="318" t="s">
        <v>647</v>
      </c>
      <c r="C121" s="453">
        <v>0</v>
      </c>
      <c r="D121" s="453">
        <v>4</v>
      </c>
      <c r="E121" s="455">
        <v>4</v>
      </c>
      <c r="F121" s="451"/>
      <c r="G121" s="451">
        <f t="shared" si="4"/>
        <v>100</v>
      </c>
    </row>
    <row r="122" spans="1:7" ht="28.5" customHeight="1">
      <c r="A122" s="317" t="s">
        <v>701</v>
      </c>
      <c r="B122" s="318" t="s">
        <v>702</v>
      </c>
      <c r="C122" s="452">
        <f>SUM(C123)</f>
        <v>11680</v>
      </c>
      <c r="D122" s="452">
        <f>SUM(D123)</f>
        <v>11080</v>
      </c>
      <c r="E122" s="452">
        <f>SUM(E123)</f>
        <v>10548.8</v>
      </c>
      <c r="F122" s="451">
        <f>E122/C122*100</f>
        <v>90.31506849315068</v>
      </c>
      <c r="G122" s="451">
        <f t="shared" si="4"/>
        <v>95.2057761732852</v>
      </c>
    </row>
    <row r="123" spans="1:7" ht="32.25" customHeight="1">
      <c r="A123" s="317" t="s">
        <v>703</v>
      </c>
      <c r="B123" s="318" t="s">
        <v>704</v>
      </c>
      <c r="C123" s="453">
        <v>11680</v>
      </c>
      <c r="D123" s="453">
        <v>11080</v>
      </c>
      <c r="E123" s="463">
        <v>10548.8</v>
      </c>
      <c r="F123" s="451">
        <f>E123/C123*100</f>
        <v>90.31506849315068</v>
      </c>
      <c r="G123" s="451">
        <f t="shared" si="4"/>
        <v>95.2057761732852</v>
      </c>
    </row>
    <row r="124" spans="1:7" ht="22.5" customHeight="1">
      <c r="A124" s="317" t="s">
        <v>705</v>
      </c>
      <c r="B124" s="318" t="s">
        <v>706</v>
      </c>
      <c r="C124" s="452">
        <f>C125+C127+C129</f>
        <v>500</v>
      </c>
      <c r="D124" s="452">
        <f>D125+D127+D129</f>
        <v>13319.9</v>
      </c>
      <c r="E124" s="452">
        <f>E125+E127+E129</f>
        <v>13563.9</v>
      </c>
      <c r="F124" s="451" t="s">
        <v>1212</v>
      </c>
      <c r="G124" s="451">
        <f t="shared" si="4"/>
        <v>101.8318455844263</v>
      </c>
    </row>
    <row r="125" spans="1:7" ht="15">
      <c r="A125" s="317" t="s">
        <v>707</v>
      </c>
      <c r="B125" s="318" t="s">
        <v>708</v>
      </c>
      <c r="C125" s="453">
        <f>C126</f>
        <v>0</v>
      </c>
      <c r="D125" s="453">
        <f>D126</f>
        <v>0</v>
      </c>
      <c r="E125" s="452">
        <f>E126</f>
        <v>6.6</v>
      </c>
      <c r="F125" s="451"/>
      <c r="G125" s="451"/>
    </row>
    <row r="126" spans="1:7" ht="21" customHeight="1">
      <c r="A126" s="317" t="s">
        <v>709</v>
      </c>
      <c r="B126" s="318" t="s">
        <v>710</v>
      </c>
      <c r="C126" s="453"/>
      <c r="D126" s="461"/>
      <c r="E126" s="455">
        <v>6.6</v>
      </c>
      <c r="F126" s="451"/>
      <c r="G126" s="451"/>
    </row>
    <row r="127" spans="1:7" ht="25.5" hidden="1">
      <c r="A127" s="317" t="s">
        <v>711</v>
      </c>
      <c r="B127" s="318" t="s">
        <v>712</v>
      </c>
      <c r="C127" s="452">
        <f>C128</f>
        <v>0</v>
      </c>
      <c r="D127" s="452">
        <f>D128</f>
        <v>0</v>
      </c>
      <c r="E127" s="452">
        <f>E128</f>
        <v>0</v>
      </c>
      <c r="F127" s="451"/>
      <c r="G127" s="451"/>
    </row>
    <row r="128" spans="1:7" ht="38.25" hidden="1">
      <c r="A128" s="317" t="s">
        <v>713</v>
      </c>
      <c r="B128" s="318" t="s">
        <v>714</v>
      </c>
      <c r="C128" s="453"/>
      <c r="D128" s="453"/>
      <c r="E128" s="462"/>
      <c r="F128" s="451"/>
      <c r="G128" s="451"/>
    </row>
    <row r="129" spans="1:7" ht="19.5" customHeight="1">
      <c r="A129" s="317" t="s">
        <v>715</v>
      </c>
      <c r="B129" s="318" t="s">
        <v>716</v>
      </c>
      <c r="C129" s="452">
        <f>SUM(C130)</f>
        <v>500</v>
      </c>
      <c r="D129" s="452">
        <f>SUM(D130)</f>
        <v>13319.9</v>
      </c>
      <c r="E129" s="452">
        <f>SUM(E130)</f>
        <v>13557.3</v>
      </c>
      <c r="F129" s="451" t="s">
        <v>1212</v>
      </c>
      <c r="G129" s="451">
        <f t="shared" si="4"/>
        <v>101.78229566288036</v>
      </c>
    </row>
    <row r="130" spans="1:7" ht="21" customHeight="1">
      <c r="A130" s="317" t="s">
        <v>717</v>
      </c>
      <c r="B130" s="318" t="s">
        <v>718</v>
      </c>
      <c r="C130" s="453">
        <v>500</v>
      </c>
      <c r="D130" s="453">
        <v>13319.9</v>
      </c>
      <c r="E130" s="453">
        <v>13557.3</v>
      </c>
      <c r="F130" s="451" t="s">
        <v>1212</v>
      </c>
      <c r="G130" s="451">
        <f t="shared" si="4"/>
        <v>101.78229566288036</v>
      </c>
    </row>
    <row r="131" spans="1:7" ht="50.25" customHeight="1" hidden="1">
      <c r="A131" s="328" t="s">
        <v>719</v>
      </c>
      <c r="B131" s="329" t="s">
        <v>720</v>
      </c>
      <c r="C131" s="464">
        <f>C132</f>
        <v>0</v>
      </c>
      <c r="D131" s="464">
        <f>D132</f>
        <v>0</v>
      </c>
      <c r="E131" s="464">
        <f>E132</f>
        <v>0</v>
      </c>
      <c r="F131" s="451" t="e">
        <f>E131/C131*100</f>
        <v>#DIV/0!</v>
      </c>
      <c r="G131" s="451" t="e">
        <f t="shared" si="4"/>
        <v>#DIV/0!</v>
      </c>
    </row>
    <row r="132" spans="1:7" ht="32.25" customHeight="1" hidden="1">
      <c r="A132" s="328" t="s">
        <v>721</v>
      </c>
      <c r="B132" s="329" t="s">
        <v>722</v>
      </c>
      <c r="C132" s="465">
        <v>0</v>
      </c>
      <c r="D132" s="465">
        <v>0</v>
      </c>
      <c r="E132" s="466">
        <v>0</v>
      </c>
      <c r="F132" s="451" t="e">
        <f>E132/C132*100</f>
        <v>#DIV/0!</v>
      </c>
      <c r="G132" s="451" t="e">
        <f t="shared" si="4"/>
        <v>#DIV/0!</v>
      </c>
    </row>
    <row r="133" spans="1:7" ht="25.5">
      <c r="A133" s="316" t="s">
        <v>723</v>
      </c>
      <c r="B133" s="223" t="s">
        <v>724</v>
      </c>
      <c r="C133" s="467">
        <f>C134+C196+C198</f>
        <v>1209904</v>
      </c>
      <c r="D133" s="467">
        <f>D134+D196+D198</f>
        <v>1464972.6300000001</v>
      </c>
      <c r="E133" s="467">
        <f>E134+E196+E198</f>
        <v>1458261.9940000002</v>
      </c>
      <c r="F133" s="451">
        <f>E133/C133*100</f>
        <v>120.52708264457345</v>
      </c>
      <c r="G133" s="451">
        <f t="shared" si="4"/>
        <v>99.5419275512335</v>
      </c>
    </row>
    <row r="134" spans="1:7" ht="27.75" customHeight="1">
      <c r="A134" s="316" t="s">
        <v>725</v>
      </c>
      <c r="B134" s="223" t="s">
        <v>726</v>
      </c>
      <c r="C134" s="468">
        <f>C137+C158+C185+C135</f>
        <v>1209904</v>
      </c>
      <c r="D134" s="468">
        <f>D137+D158+D185+D135</f>
        <v>1464006.9300000002</v>
      </c>
      <c r="E134" s="468">
        <f>E137+E158+E185+E135</f>
        <v>1456926.094</v>
      </c>
      <c r="F134" s="451">
        <f>E134/C134*100</f>
        <v>120.41666892579907</v>
      </c>
      <c r="G134" s="451">
        <f t="shared" si="4"/>
        <v>99.51633862826044</v>
      </c>
    </row>
    <row r="135" spans="1:7" ht="18.75" customHeight="1" hidden="1">
      <c r="A135" s="317" t="s">
        <v>727</v>
      </c>
      <c r="B135" s="318" t="s">
        <v>728</v>
      </c>
      <c r="C135" s="468">
        <f>C136</f>
        <v>0</v>
      </c>
      <c r="D135" s="468">
        <f>D136</f>
        <v>0</v>
      </c>
      <c r="E135" s="468">
        <f>E136</f>
        <v>0</v>
      </c>
      <c r="F135" s="451"/>
      <c r="G135" s="451"/>
    </row>
    <row r="136" spans="1:7" ht="15" hidden="1">
      <c r="A136" s="317" t="s">
        <v>729</v>
      </c>
      <c r="B136" s="318" t="s">
        <v>730</v>
      </c>
      <c r="C136" s="469">
        <v>0</v>
      </c>
      <c r="D136" s="469">
        <v>0</v>
      </c>
      <c r="E136" s="470">
        <v>0</v>
      </c>
      <c r="F136" s="451"/>
      <c r="G136" s="451"/>
    </row>
    <row r="137" spans="1:7" ht="26.25" customHeight="1">
      <c r="A137" s="317" t="s">
        <v>731</v>
      </c>
      <c r="B137" s="318" t="s">
        <v>732</v>
      </c>
      <c r="C137" s="468">
        <f>C156+C144+C148+C151+C140+C138+C146+C154+C142</f>
        <v>229</v>
      </c>
      <c r="D137" s="468">
        <f>D156+D144+D148+D151+D140+D138+D146+D154+D142</f>
        <v>206552.33</v>
      </c>
      <c r="E137" s="468">
        <f>E156+E144+E148+E151+E140+E138+E146+E154+E142</f>
        <v>213319.094</v>
      </c>
      <c r="F137" s="451" t="s">
        <v>1212</v>
      </c>
      <c r="G137" s="451">
        <f t="shared" si="4"/>
        <v>103.27605309511638</v>
      </c>
    </row>
    <row r="138" spans="1:7" s="277" customFormat="1" ht="18.75" customHeight="1">
      <c r="A138" s="317" t="s">
        <v>411</v>
      </c>
      <c r="B138" s="318" t="s">
        <v>412</v>
      </c>
      <c r="C138" s="468">
        <f>C139</f>
        <v>0</v>
      </c>
      <c r="D138" s="468">
        <f>D139</f>
        <v>2566.5</v>
      </c>
      <c r="E138" s="468">
        <f>E139</f>
        <v>2025.7</v>
      </c>
      <c r="F138" s="451"/>
      <c r="G138" s="451">
        <f t="shared" si="4"/>
        <v>78.92850185076952</v>
      </c>
    </row>
    <row r="139" spans="1:7" s="277" customFormat="1" ht="25.5">
      <c r="A139" s="317" t="s">
        <v>411</v>
      </c>
      <c r="B139" s="318" t="s">
        <v>413</v>
      </c>
      <c r="C139" s="469">
        <v>0</v>
      </c>
      <c r="D139" s="469">
        <v>2566.5</v>
      </c>
      <c r="E139" s="469">
        <v>2025.7</v>
      </c>
      <c r="F139" s="451"/>
      <c r="G139" s="451">
        <f t="shared" si="4"/>
        <v>78.92850185076952</v>
      </c>
    </row>
    <row r="140" spans="1:7" s="277" customFormat="1" ht="38.25">
      <c r="A140" s="317" t="s">
        <v>1903</v>
      </c>
      <c r="B140" s="318" t="s">
        <v>1904</v>
      </c>
      <c r="C140" s="468">
        <f>C141</f>
        <v>0</v>
      </c>
      <c r="D140" s="468">
        <f>D141</f>
        <v>10510</v>
      </c>
      <c r="E140" s="468">
        <f>E141</f>
        <v>10510</v>
      </c>
      <c r="F140" s="451"/>
      <c r="G140" s="451">
        <f t="shared" si="4"/>
        <v>100</v>
      </c>
    </row>
    <row r="141" spans="1:7" s="277" customFormat="1" ht="38.25">
      <c r="A141" s="317" t="s">
        <v>1905</v>
      </c>
      <c r="B141" s="318" t="s">
        <v>1906</v>
      </c>
      <c r="C141" s="469">
        <v>0</v>
      </c>
      <c r="D141" s="469">
        <v>10510</v>
      </c>
      <c r="E141" s="469">
        <v>10510</v>
      </c>
      <c r="F141" s="451"/>
      <c r="G141" s="451">
        <f t="shared" si="4"/>
        <v>100</v>
      </c>
    </row>
    <row r="142" spans="1:7" s="277" customFormat="1" ht="25.5">
      <c r="A142" s="317" t="s">
        <v>648</v>
      </c>
      <c r="B142" s="318" t="s">
        <v>649</v>
      </c>
      <c r="C142" s="468">
        <f>C143</f>
        <v>0</v>
      </c>
      <c r="D142" s="468">
        <f>D143</f>
        <v>48236</v>
      </c>
      <c r="E142" s="468">
        <f>E143</f>
        <v>47250</v>
      </c>
      <c r="F142" s="451"/>
      <c r="G142" s="451">
        <f aca="true" t="shared" si="6" ref="G142:G200">E142/D142*100</f>
        <v>97.95588357243552</v>
      </c>
    </row>
    <row r="143" spans="1:7" s="277" customFormat="1" ht="38.25" customHeight="1">
      <c r="A143" s="317" t="s">
        <v>650</v>
      </c>
      <c r="B143" s="318" t="s">
        <v>651</v>
      </c>
      <c r="C143" s="469">
        <v>0</v>
      </c>
      <c r="D143" s="469">
        <v>48236</v>
      </c>
      <c r="E143" s="470">
        <v>47250</v>
      </c>
      <c r="F143" s="451"/>
      <c r="G143" s="451">
        <f t="shared" si="6"/>
        <v>97.95588357243552</v>
      </c>
    </row>
    <row r="144" spans="1:7" s="277" customFormat="1" ht="38.25" customHeight="1">
      <c r="A144" s="317" t="s">
        <v>733</v>
      </c>
      <c r="B144" s="318" t="s">
        <v>734</v>
      </c>
      <c r="C144" s="468">
        <f>C145</f>
        <v>0</v>
      </c>
      <c r="D144" s="468">
        <f>D145</f>
        <v>1141.3</v>
      </c>
      <c r="E144" s="468">
        <f>E145</f>
        <v>1141.3</v>
      </c>
      <c r="F144" s="451"/>
      <c r="G144" s="451">
        <f t="shared" si="6"/>
        <v>100</v>
      </c>
    </row>
    <row r="145" spans="1:7" s="277" customFormat="1" ht="44.25" customHeight="1">
      <c r="A145" s="317" t="s">
        <v>735</v>
      </c>
      <c r="B145" s="318" t="s">
        <v>736</v>
      </c>
      <c r="C145" s="469">
        <v>0</v>
      </c>
      <c r="D145" s="469">
        <v>1141.3</v>
      </c>
      <c r="E145" s="470">
        <v>1141.3</v>
      </c>
      <c r="F145" s="451"/>
      <c r="G145" s="451">
        <f t="shared" si="6"/>
        <v>100</v>
      </c>
    </row>
    <row r="146" spans="1:7" ht="49.5" customHeight="1" hidden="1">
      <c r="A146" s="317" t="s">
        <v>1907</v>
      </c>
      <c r="B146" s="318" t="s">
        <v>1908</v>
      </c>
      <c r="C146" s="468">
        <f>C147</f>
        <v>0</v>
      </c>
      <c r="D146" s="468">
        <f>D147</f>
        <v>0</v>
      </c>
      <c r="E146" s="470"/>
      <c r="F146" s="451"/>
      <c r="G146" s="451"/>
    </row>
    <row r="147" spans="1:7" ht="42.75" customHeight="1" hidden="1">
      <c r="A147" s="317" t="s">
        <v>1909</v>
      </c>
      <c r="B147" s="318" t="s">
        <v>1910</v>
      </c>
      <c r="C147" s="469">
        <v>0</v>
      </c>
      <c r="D147" s="469">
        <v>0</v>
      </c>
      <c r="E147" s="470"/>
      <c r="F147" s="451"/>
      <c r="G147" s="451"/>
    </row>
    <row r="148" spans="1:7" ht="63.75">
      <c r="A148" s="317" t="s">
        <v>737</v>
      </c>
      <c r="B148" s="318" t="s">
        <v>419</v>
      </c>
      <c r="C148" s="468">
        <f aca="true" t="shared" si="7" ref="C148:E149">C149</f>
        <v>0</v>
      </c>
      <c r="D148" s="468">
        <f t="shared" si="7"/>
        <v>12959.93</v>
      </c>
      <c r="E148" s="468">
        <f t="shared" si="7"/>
        <v>12959.9</v>
      </c>
      <c r="F148" s="451"/>
      <c r="G148" s="451">
        <f t="shared" si="6"/>
        <v>99.99976851726822</v>
      </c>
    </row>
    <row r="149" spans="1:7" ht="24" customHeight="1">
      <c r="A149" s="317" t="s">
        <v>420</v>
      </c>
      <c r="B149" s="318" t="s">
        <v>421</v>
      </c>
      <c r="C149" s="468">
        <f t="shared" si="7"/>
        <v>0</v>
      </c>
      <c r="D149" s="468">
        <f t="shared" si="7"/>
        <v>12959.93</v>
      </c>
      <c r="E149" s="468">
        <f t="shared" si="7"/>
        <v>12959.9</v>
      </c>
      <c r="F149" s="451"/>
      <c r="G149" s="451">
        <f t="shared" si="6"/>
        <v>99.99976851726822</v>
      </c>
    </row>
    <row r="150" spans="1:7" ht="56.25" customHeight="1">
      <c r="A150" s="317" t="s">
        <v>422</v>
      </c>
      <c r="B150" s="318" t="s">
        <v>423</v>
      </c>
      <c r="C150" s="469">
        <v>0</v>
      </c>
      <c r="D150" s="469">
        <v>12959.93</v>
      </c>
      <c r="E150" s="470">
        <v>12959.9</v>
      </c>
      <c r="F150" s="451"/>
      <c r="G150" s="451">
        <f t="shared" si="6"/>
        <v>99.99976851726822</v>
      </c>
    </row>
    <row r="151" spans="1:7" ht="55.5" customHeight="1">
      <c r="A151" s="317" t="s">
        <v>424</v>
      </c>
      <c r="B151" s="318" t="s">
        <v>518</v>
      </c>
      <c r="C151" s="468">
        <f aca="true" t="shared" si="8" ref="C151:E152">C152</f>
        <v>0</v>
      </c>
      <c r="D151" s="468">
        <f t="shared" si="8"/>
        <v>0</v>
      </c>
      <c r="E151" s="468">
        <f t="shared" si="8"/>
        <v>9257.094</v>
      </c>
      <c r="F151" s="451"/>
      <c r="G151" s="451"/>
    </row>
    <row r="152" spans="1:7" ht="42.75" customHeight="1">
      <c r="A152" s="317" t="s">
        <v>519</v>
      </c>
      <c r="B152" s="318" t="s">
        <v>255</v>
      </c>
      <c r="C152" s="468">
        <f t="shared" si="8"/>
        <v>0</v>
      </c>
      <c r="D152" s="468">
        <f t="shared" si="8"/>
        <v>0</v>
      </c>
      <c r="E152" s="468">
        <v>9257.094</v>
      </c>
      <c r="F152" s="451"/>
      <c r="G152" s="451"/>
    </row>
    <row r="153" spans="1:7" ht="27.75" customHeight="1">
      <c r="A153" s="317" t="s">
        <v>256</v>
      </c>
      <c r="B153" s="318" t="s">
        <v>257</v>
      </c>
      <c r="C153" s="469">
        <v>0</v>
      </c>
      <c r="D153" s="469">
        <v>0</v>
      </c>
      <c r="E153" s="469">
        <v>9257.1</v>
      </c>
      <c r="F153" s="451"/>
      <c r="G153" s="451"/>
    </row>
    <row r="154" spans="1:7" ht="36" hidden="1">
      <c r="A154" s="317" t="s">
        <v>652</v>
      </c>
      <c r="B154" s="219" t="s">
        <v>653</v>
      </c>
      <c r="C154" s="468">
        <f>C155</f>
        <v>0</v>
      </c>
      <c r="D154" s="469">
        <f>D155</f>
        <v>0</v>
      </c>
      <c r="E154" s="469">
        <f>E155</f>
        <v>0</v>
      </c>
      <c r="F154" s="451"/>
      <c r="G154" s="451"/>
    </row>
    <row r="155" spans="1:7" ht="36" hidden="1">
      <c r="A155" s="317" t="s">
        <v>654</v>
      </c>
      <c r="B155" s="219" t="s">
        <v>655</v>
      </c>
      <c r="C155" s="469">
        <v>0</v>
      </c>
      <c r="D155" s="469">
        <v>0</v>
      </c>
      <c r="E155" s="469"/>
      <c r="F155" s="451"/>
      <c r="G155" s="451"/>
    </row>
    <row r="156" spans="1:7" ht="15">
      <c r="A156" s="317" t="s">
        <v>258</v>
      </c>
      <c r="B156" s="318" t="s">
        <v>39</v>
      </c>
      <c r="C156" s="468">
        <f>C157</f>
        <v>229</v>
      </c>
      <c r="D156" s="468">
        <f>D157</f>
        <v>131138.6</v>
      </c>
      <c r="E156" s="468">
        <f>E157</f>
        <v>130175.1</v>
      </c>
      <c r="F156" s="451" t="s">
        <v>1212</v>
      </c>
      <c r="G156" s="451">
        <f t="shared" si="6"/>
        <v>99.26528116054311</v>
      </c>
    </row>
    <row r="157" spans="1:7" ht="15">
      <c r="A157" s="317" t="s">
        <v>1437</v>
      </c>
      <c r="B157" s="318" t="s">
        <v>1438</v>
      </c>
      <c r="C157" s="469">
        <v>229</v>
      </c>
      <c r="D157" s="469">
        <v>131138.6</v>
      </c>
      <c r="E157" s="469">
        <v>130175.1</v>
      </c>
      <c r="F157" s="451" t="s">
        <v>1212</v>
      </c>
      <c r="G157" s="451">
        <f t="shared" si="6"/>
        <v>99.26528116054311</v>
      </c>
    </row>
    <row r="158" spans="1:7" ht="15">
      <c r="A158" s="317" t="s">
        <v>1439</v>
      </c>
      <c r="B158" s="318" t="s">
        <v>1440</v>
      </c>
      <c r="C158" s="468">
        <f>C163+C165+C167+C169+C171+C173+C183+C159+C175+C177+C161+C179+C181</f>
        <v>1209374</v>
      </c>
      <c r="D158" s="468">
        <f>D163+D165+D167+D169+D171+D173+D183+D159+D175+D177+D161+D179+D181</f>
        <v>1250008</v>
      </c>
      <c r="E158" s="468">
        <f>E163+E165+E167+E169+E171+E173+E183+E159+E175+E177+E161+E179+E181</f>
        <v>1236255.4</v>
      </c>
      <c r="F158" s="451">
        <f>E158/C158*100</f>
        <v>102.22275325912413</v>
      </c>
      <c r="G158" s="451">
        <f t="shared" si="6"/>
        <v>98.89979904128613</v>
      </c>
    </row>
    <row r="159" spans="1:7" ht="31.5" customHeight="1" hidden="1">
      <c r="A159" s="317" t="s">
        <v>1441</v>
      </c>
      <c r="B159" s="318" t="s">
        <v>1442</v>
      </c>
      <c r="C159" s="468">
        <f>C160</f>
        <v>0</v>
      </c>
      <c r="D159" s="468">
        <f>D160</f>
        <v>0</v>
      </c>
      <c r="E159" s="468">
        <f>E160</f>
        <v>0</v>
      </c>
      <c r="F159" s="451"/>
      <c r="G159" s="451"/>
    </row>
    <row r="160" spans="1:7" ht="41.25" customHeight="1" hidden="1">
      <c r="A160" s="317" t="s">
        <v>1443</v>
      </c>
      <c r="B160" s="318" t="s">
        <v>1444</v>
      </c>
      <c r="C160" s="469">
        <v>0</v>
      </c>
      <c r="D160" s="469">
        <v>0</v>
      </c>
      <c r="E160" s="469">
        <v>0</v>
      </c>
      <c r="F160" s="451"/>
      <c r="G160" s="451"/>
    </row>
    <row r="161" spans="1:7" ht="38.25" customHeight="1">
      <c r="A161" s="317" t="s">
        <v>1445</v>
      </c>
      <c r="B161" s="318" t="s">
        <v>1446</v>
      </c>
      <c r="C161" s="468">
        <f>C162</f>
        <v>0</v>
      </c>
      <c r="D161" s="468">
        <f>D162</f>
        <v>237</v>
      </c>
      <c r="E161" s="468">
        <f>E162</f>
        <v>237</v>
      </c>
      <c r="F161" s="451"/>
      <c r="G161" s="451">
        <f t="shared" si="6"/>
        <v>100</v>
      </c>
    </row>
    <row r="162" spans="1:7" ht="38.25">
      <c r="A162" s="317" t="s">
        <v>1447</v>
      </c>
      <c r="B162" s="318" t="s">
        <v>1448</v>
      </c>
      <c r="C162" s="469">
        <v>0</v>
      </c>
      <c r="D162" s="469">
        <v>237</v>
      </c>
      <c r="E162" s="469">
        <v>237</v>
      </c>
      <c r="F162" s="451"/>
      <c r="G162" s="451">
        <f t="shared" si="6"/>
        <v>100</v>
      </c>
    </row>
    <row r="163" spans="1:7" ht="33.75" customHeight="1">
      <c r="A163" s="317" t="s">
        <v>1449</v>
      </c>
      <c r="B163" s="318" t="s">
        <v>1450</v>
      </c>
      <c r="C163" s="468">
        <f>C164</f>
        <v>8734</v>
      </c>
      <c r="D163" s="468">
        <f>D164</f>
        <v>8749</v>
      </c>
      <c r="E163" s="468">
        <f>E164</f>
        <v>8724.1</v>
      </c>
      <c r="F163" s="451">
        <f aca="true" t="shared" si="9" ref="F163:F174">E163/C163*100</f>
        <v>99.88664987405542</v>
      </c>
      <c r="G163" s="451">
        <f t="shared" si="6"/>
        <v>99.71539604526231</v>
      </c>
    </row>
    <row r="164" spans="1:7" ht="27.75" customHeight="1">
      <c r="A164" s="317" t="s">
        <v>1451</v>
      </c>
      <c r="B164" s="318" t="s">
        <v>1452</v>
      </c>
      <c r="C164" s="469">
        <v>8734</v>
      </c>
      <c r="D164" s="469">
        <v>8749</v>
      </c>
      <c r="E164" s="469">
        <v>8724.1</v>
      </c>
      <c r="F164" s="451">
        <f t="shared" si="9"/>
        <v>99.88664987405542</v>
      </c>
      <c r="G164" s="451">
        <f t="shared" si="6"/>
        <v>99.71539604526231</v>
      </c>
    </row>
    <row r="165" spans="1:7" ht="31.5" customHeight="1">
      <c r="A165" s="317" t="s">
        <v>1453</v>
      </c>
      <c r="B165" s="318" t="s">
        <v>1454</v>
      </c>
      <c r="C165" s="468">
        <f>C166</f>
        <v>35894</v>
      </c>
      <c r="D165" s="468">
        <f>D166</f>
        <v>41788</v>
      </c>
      <c r="E165" s="468">
        <f>E166</f>
        <v>38459.2</v>
      </c>
      <c r="F165" s="451">
        <f t="shared" si="9"/>
        <v>107.14659831726749</v>
      </c>
      <c r="G165" s="451">
        <f t="shared" si="6"/>
        <v>92.03407676845026</v>
      </c>
    </row>
    <row r="166" spans="1:7" ht="31.5" customHeight="1">
      <c r="A166" s="317" t="s">
        <v>1455</v>
      </c>
      <c r="B166" s="318" t="s">
        <v>1456</v>
      </c>
      <c r="C166" s="469">
        <v>35894</v>
      </c>
      <c r="D166" s="469">
        <v>41788</v>
      </c>
      <c r="E166" s="469">
        <v>38459.2</v>
      </c>
      <c r="F166" s="451">
        <f t="shared" si="9"/>
        <v>107.14659831726749</v>
      </c>
      <c r="G166" s="451">
        <f t="shared" si="6"/>
        <v>92.03407676845026</v>
      </c>
    </row>
    <row r="167" spans="1:7" ht="25.5">
      <c r="A167" s="317" t="s">
        <v>1457</v>
      </c>
      <c r="B167" s="318" t="s">
        <v>1458</v>
      </c>
      <c r="C167" s="468">
        <f>C168</f>
        <v>451573</v>
      </c>
      <c r="D167" s="468">
        <f>D168</f>
        <v>425473</v>
      </c>
      <c r="E167" s="468">
        <f>E168</f>
        <v>422511.1</v>
      </c>
      <c r="F167" s="451">
        <f t="shared" si="9"/>
        <v>93.56429635961405</v>
      </c>
      <c r="G167" s="451">
        <f t="shared" si="6"/>
        <v>99.30385711901812</v>
      </c>
    </row>
    <row r="168" spans="1:7" ht="25.5">
      <c r="A168" s="317" t="s">
        <v>1459</v>
      </c>
      <c r="B168" s="318" t="s">
        <v>1460</v>
      </c>
      <c r="C168" s="469">
        <v>451573</v>
      </c>
      <c r="D168" s="469">
        <v>425473</v>
      </c>
      <c r="E168" s="469">
        <v>422511.1</v>
      </c>
      <c r="F168" s="451">
        <f t="shared" si="9"/>
        <v>93.56429635961405</v>
      </c>
      <c r="G168" s="451">
        <f t="shared" si="6"/>
        <v>99.30385711901812</v>
      </c>
    </row>
    <row r="169" spans="1:7" ht="54.75" customHeight="1">
      <c r="A169" s="317" t="s">
        <v>1461</v>
      </c>
      <c r="B169" s="318" t="s">
        <v>496</v>
      </c>
      <c r="C169" s="468">
        <f>C170</f>
        <v>2643</v>
      </c>
      <c r="D169" s="468">
        <f>D170</f>
        <v>2643</v>
      </c>
      <c r="E169" s="468">
        <f>E170</f>
        <v>2305.1</v>
      </c>
      <c r="F169" s="451">
        <f t="shared" si="9"/>
        <v>87.21528566023457</v>
      </c>
      <c r="G169" s="451">
        <f t="shared" si="6"/>
        <v>87.21528566023457</v>
      </c>
    </row>
    <row r="170" spans="1:7" ht="51.75" customHeight="1">
      <c r="A170" s="317" t="s">
        <v>497</v>
      </c>
      <c r="B170" s="318" t="s">
        <v>498</v>
      </c>
      <c r="C170" s="469">
        <v>2643</v>
      </c>
      <c r="D170" s="469">
        <v>2643</v>
      </c>
      <c r="E170" s="469">
        <v>2305.1</v>
      </c>
      <c r="F170" s="451">
        <f t="shared" si="9"/>
        <v>87.21528566023457</v>
      </c>
      <c r="G170" s="451">
        <f t="shared" si="6"/>
        <v>87.21528566023457</v>
      </c>
    </row>
    <row r="171" spans="1:7" ht="63.75">
      <c r="A171" s="317" t="s">
        <v>499</v>
      </c>
      <c r="B171" s="318" t="s">
        <v>500</v>
      </c>
      <c r="C171" s="468">
        <f>C172</f>
        <v>20849</v>
      </c>
      <c r="D171" s="468">
        <f>D172</f>
        <v>20849</v>
      </c>
      <c r="E171" s="468">
        <f>E172</f>
        <v>20104.5</v>
      </c>
      <c r="F171" s="451">
        <f t="shared" si="9"/>
        <v>96.42908532783348</v>
      </c>
      <c r="G171" s="451">
        <f t="shared" si="6"/>
        <v>96.42908532783348</v>
      </c>
    </row>
    <row r="172" spans="1:7" ht="51">
      <c r="A172" s="317" t="s">
        <v>501</v>
      </c>
      <c r="B172" s="318" t="s">
        <v>502</v>
      </c>
      <c r="C172" s="469">
        <v>20849</v>
      </c>
      <c r="D172" s="469">
        <v>20849</v>
      </c>
      <c r="E172" s="469">
        <v>20104.5</v>
      </c>
      <c r="F172" s="451">
        <f t="shared" si="9"/>
        <v>96.42908532783348</v>
      </c>
      <c r="G172" s="451">
        <f t="shared" si="6"/>
        <v>96.42908532783348</v>
      </c>
    </row>
    <row r="173" spans="1:7" ht="51">
      <c r="A173" s="317" t="s">
        <v>503</v>
      </c>
      <c r="B173" s="318" t="s">
        <v>504</v>
      </c>
      <c r="C173" s="468">
        <f>C174</f>
        <v>7045</v>
      </c>
      <c r="D173" s="468">
        <f>D174</f>
        <v>6569</v>
      </c>
      <c r="E173" s="468">
        <f>E174</f>
        <v>5473.2</v>
      </c>
      <c r="F173" s="451">
        <f t="shared" si="9"/>
        <v>77.68914123491838</v>
      </c>
      <c r="G173" s="451">
        <f t="shared" si="6"/>
        <v>83.31861775003806</v>
      </c>
    </row>
    <row r="174" spans="1:7" ht="38.25">
      <c r="A174" s="317" t="s">
        <v>505</v>
      </c>
      <c r="B174" s="318" t="s">
        <v>506</v>
      </c>
      <c r="C174" s="469">
        <v>7045</v>
      </c>
      <c r="D174" s="469">
        <v>6569</v>
      </c>
      <c r="E174" s="469">
        <v>5473.2</v>
      </c>
      <c r="F174" s="451">
        <f t="shared" si="9"/>
        <v>77.68914123491838</v>
      </c>
      <c r="G174" s="451">
        <f t="shared" si="6"/>
        <v>83.31861775003806</v>
      </c>
    </row>
    <row r="175" spans="1:7" ht="65.25" customHeight="1">
      <c r="A175" s="317" t="s">
        <v>507</v>
      </c>
      <c r="B175" s="318" t="s">
        <v>508</v>
      </c>
      <c r="C175" s="468">
        <f>C176</f>
        <v>0</v>
      </c>
      <c r="D175" s="468">
        <f>D176</f>
        <v>1674</v>
      </c>
      <c r="E175" s="468">
        <f>E176</f>
        <v>1674</v>
      </c>
      <c r="F175" s="451"/>
      <c r="G175" s="451">
        <f t="shared" si="6"/>
        <v>100</v>
      </c>
    </row>
    <row r="176" spans="1:7" ht="69.75" customHeight="1">
      <c r="A176" s="317" t="s">
        <v>509</v>
      </c>
      <c r="B176" s="318" t="s">
        <v>1652</v>
      </c>
      <c r="C176" s="469">
        <v>0</v>
      </c>
      <c r="D176" s="469">
        <v>1674</v>
      </c>
      <c r="E176" s="469">
        <v>1674</v>
      </c>
      <c r="F176" s="451"/>
      <c r="G176" s="451">
        <f t="shared" si="6"/>
        <v>100</v>
      </c>
    </row>
    <row r="177" spans="1:7" s="277" customFormat="1" ht="57" customHeight="1" hidden="1">
      <c r="A177" s="317" t="s">
        <v>1653</v>
      </c>
      <c r="B177" s="318" t="s">
        <v>1654</v>
      </c>
      <c r="C177" s="468">
        <f>C178</f>
        <v>0</v>
      </c>
      <c r="D177" s="468">
        <f>D178</f>
        <v>0</v>
      </c>
      <c r="E177" s="468">
        <f>E178</f>
        <v>0</v>
      </c>
      <c r="F177" s="451"/>
      <c r="G177" s="451"/>
    </row>
    <row r="178" spans="1:7" s="277" customFormat="1" ht="60.75" customHeight="1" hidden="1">
      <c r="A178" s="317" t="s">
        <v>1655</v>
      </c>
      <c r="B178" s="318" t="s">
        <v>1656</v>
      </c>
      <c r="C178" s="469">
        <v>0</v>
      </c>
      <c r="D178" s="469">
        <v>0</v>
      </c>
      <c r="E178" s="469">
        <v>0</v>
      </c>
      <c r="F178" s="451"/>
      <c r="G178" s="451"/>
    </row>
    <row r="179" spans="1:7" ht="25.5">
      <c r="A179" s="317" t="s">
        <v>1911</v>
      </c>
      <c r="B179" s="318" t="s">
        <v>1912</v>
      </c>
      <c r="C179" s="468">
        <f>C180</f>
        <v>0</v>
      </c>
      <c r="D179" s="468">
        <f>D180</f>
        <v>19426</v>
      </c>
      <c r="E179" s="468">
        <f>E180</f>
        <v>19426</v>
      </c>
      <c r="F179" s="451"/>
      <c r="G179" s="451">
        <f t="shared" si="6"/>
        <v>100</v>
      </c>
    </row>
    <row r="180" spans="1:7" ht="36" customHeight="1">
      <c r="A180" s="317" t="s">
        <v>1913</v>
      </c>
      <c r="B180" s="318" t="s">
        <v>1914</v>
      </c>
      <c r="C180" s="469">
        <v>0</v>
      </c>
      <c r="D180" s="469">
        <v>19426</v>
      </c>
      <c r="E180" s="469">
        <v>19426</v>
      </c>
      <c r="F180" s="451"/>
      <c r="G180" s="451">
        <f t="shared" si="6"/>
        <v>100</v>
      </c>
    </row>
    <row r="181" spans="1:7" ht="24">
      <c r="A181" s="317" t="s">
        <v>656</v>
      </c>
      <c r="B181" s="219" t="s">
        <v>657</v>
      </c>
      <c r="C181" s="468">
        <f>C182</f>
        <v>0</v>
      </c>
      <c r="D181" s="468">
        <f>D182</f>
        <v>44641</v>
      </c>
      <c r="E181" s="469">
        <f>E182</f>
        <v>43966</v>
      </c>
      <c r="F181" s="451"/>
      <c r="G181" s="451">
        <f t="shared" si="6"/>
        <v>98.48793709818328</v>
      </c>
    </row>
    <row r="182" spans="1:7" ht="24">
      <c r="A182" s="317" t="s">
        <v>658</v>
      </c>
      <c r="B182" s="219" t="s">
        <v>659</v>
      </c>
      <c r="C182" s="469">
        <v>0</v>
      </c>
      <c r="D182" s="469">
        <v>44641</v>
      </c>
      <c r="E182" s="469">
        <v>43966</v>
      </c>
      <c r="F182" s="451"/>
      <c r="G182" s="451">
        <f t="shared" si="6"/>
        <v>98.48793709818328</v>
      </c>
    </row>
    <row r="183" spans="1:7" ht="15">
      <c r="A183" s="317" t="s">
        <v>1657</v>
      </c>
      <c r="B183" s="324" t="s">
        <v>1658</v>
      </c>
      <c r="C183" s="468">
        <f>C184</f>
        <v>682636</v>
      </c>
      <c r="D183" s="468">
        <f>D184</f>
        <v>677959</v>
      </c>
      <c r="E183" s="468">
        <f>E184</f>
        <v>673375.2</v>
      </c>
      <c r="F183" s="451">
        <f>E183/C183*100</f>
        <v>98.6433765579313</v>
      </c>
      <c r="G183" s="451">
        <f t="shared" si="6"/>
        <v>99.32388241766832</v>
      </c>
    </row>
    <row r="184" spans="1:7" s="277" customFormat="1" ht="26.25" customHeight="1">
      <c r="A184" s="317" t="s">
        <v>1659</v>
      </c>
      <c r="B184" s="318" t="s">
        <v>1660</v>
      </c>
      <c r="C184" s="469">
        <v>682636</v>
      </c>
      <c r="D184" s="469">
        <v>677959</v>
      </c>
      <c r="E184" s="469">
        <v>673375.2</v>
      </c>
      <c r="F184" s="451">
        <f>E184/C184*100</f>
        <v>98.6433765579313</v>
      </c>
      <c r="G184" s="451">
        <f t="shared" si="6"/>
        <v>99.32388241766832</v>
      </c>
    </row>
    <row r="185" spans="1:7" s="277" customFormat="1" ht="14.25">
      <c r="A185" s="317" t="s">
        <v>1661</v>
      </c>
      <c r="B185" s="324" t="s">
        <v>1662</v>
      </c>
      <c r="C185" s="468">
        <f>C186+C188+C190+C194+C192</f>
        <v>301</v>
      </c>
      <c r="D185" s="468">
        <f>D186+D188+D190+D194+D192</f>
        <v>7446.6</v>
      </c>
      <c r="E185" s="468">
        <f>E186+E188+E190+E194+E192</f>
        <v>7351.6</v>
      </c>
      <c r="F185" s="451" t="s">
        <v>1212</v>
      </c>
      <c r="G185" s="451">
        <f t="shared" si="6"/>
        <v>98.72424999328553</v>
      </c>
    </row>
    <row r="186" spans="1:7" ht="57" customHeight="1" hidden="1">
      <c r="A186" s="317" t="s">
        <v>1663</v>
      </c>
      <c r="B186" s="324" t="s">
        <v>147</v>
      </c>
      <c r="C186" s="468">
        <f aca="true" t="shared" si="10" ref="C186:E190">C187</f>
        <v>0</v>
      </c>
      <c r="D186" s="468">
        <f t="shared" si="10"/>
        <v>0</v>
      </c>
      <c r="E186" s="468">
        <f t="shared" si="10"/>
        <v>0</v>
      </c>
      <c r="F186" s="451"/>
      <c r="G186" s="451"/>
    </row>
    <row r="187" spans="1:7" ht="71.25" customHeight="1" hidden="1">
      <c r="A187" s="317" t="s">
        <v>148</v>
      </c>
      <c r="B187" s="324" t="s">
        <v>149</v>
      </c>
      <c r="C187" s="469">
        <v>0</v>
      </c>
      <c r="D187" s="469">
        <v>0</v>
      </c>
      <c r="E187" s="469">
        <v>0</v>
      </c>
      <c r="F187" s="451"/>
      <c r="G187" s="451"/>
    </row>
    <row r="188" spans="1:7" s="277" customFormat="1" ht="38.25">
      <c r="A188" s="317" t="s">
        <v>1915</v>
      </c>
      <c r="B188" s="324" t="s">
        <v>1916</v>
      </c>
      <c r="C188" s="468">
        <f t="shared" si="10"/>
        <v>0</v>
      </c>
      <c r="D188" s="468">
        <f t="shared" si="10"/>
        <v>7000</v>
      </c>
      <c r="E188" s="468">
        <f t="shared" si="10"/>
        <v>7000</v>
      </c>
      <c r="F188" s="451"/>
      <c r="G188" s="451">
        <f t="shared" si="6"/>
        <v>100</v>
      </c>
    </row>
    <row r="189" spans="1:7" s="277" customFormat="1" ht="46.5" customHeight="1">
      <c r="A189" s="317" t="s">
        <v>1917</v>
      </c>
      <c r="B189" s="324" t="s">
        <v>1918</v>
      </c>
      <c r="C189" s="469">
        <v>0</v>
      </c>
      <c r="D189" s="469">
        <v>7000</v>
      </c>
      <c r="E189" s="469">
        <v>7000</v>
      </c>
      <c r="F189" s="451"/>
      <c r="G189" s="451">
        <f t="shared" si="6"/>
        <v>100</v>
      </c>
    </row>
    <row r="190" spans="1:7" ht="25.5">
      <c r="A190" s="317" t="s">
        <v>150</v>
      </c>
      <c r="B190" s="324" t="s">
        <v>151</v>
      </c>
      <c r="C190" s="468">
        <f t="shared" si="10"/>
        <v>301</v>
      </c>
      <c r="D190" s="468">
        <f t="shared" si="10"/>
        <v>351.6</v>
      </c>
      <c r="E190" s="468">
        <f t="shared" si="10"/>
        <v>351.6</v>
      </c>
      <c r="F190" s="451">
        <f>E190/C190*100</f>
        <v>116.8106312292359</v>
      </c>
      <c r="G190" s="451">
        <f t="shared" si="6"/>
        <v>100</v>
      </c>
    </row>
    <row r="191" spans="1:7" ht="38.25">
      <c r="A191" s="317" t="s">
        <v>152</v>
      </c>
      <c r="B191" s="324" t="s">
        <v>153</v>
      </c>
      <c r="C191" s="469">
        <v>301</v>
      </c>
      <c r="D191" s="469">
        <v>351.6</v>
      </c>
      <c r="E191" s="469">
        <v>351.6</v>
      </c>
      <c r="F191" s="451">
        <f>E191/C191*100</f>
        <v>116.8106312292359</v>
      </c>
      <c r="G191" s="451">
        <f t="shared" si="6"/>
        <v>100</v>
      </c>
    </row>
    <row r="192" spans="1:7" ht="51">
      <c r="A192" s="317" t="s">
        <v>660</v>
      </c>
      <c r="B192" s="324" t="s">
        <v>1827</v>
      </c>
      <c r="C192" s="468">
        <f>C193</f>
        <v>0</v>
      </c>
      <c r="D192" s="468">
        <f>D193</f>
        <v>95</v>
      </c>
      <c r="E192" s="468">
        <f>E193</f>
        <v>0</v>
      </c>
      <c r="F192" s="451"/>
      <c r="G192" s="451">
        <f t="shared" si="6"/>
        <v>0</v>
      </c>
    </row>
    <row r="193" spans="1:7" ht="51">
      <c r="A193" s="317" t="s">
        <v>1828</v>
      </c>
      <c r="B193" s="324" t="s">
        <v>1829</v>
      </c>
      <c r="C193" s="469">
        <v>0</v>
      </c>
      <c r="D193" s="469">
        <v>95</v>
      </c>
      <c r="E193" s="469"/>
      <c r="F193" s="451"/>
      <c r="G193" s="451">
        <f t="shared" si="6"/>
        <v>0</v>
      </c>
    </row>
    <row r="194" spans="1:7" ht="25.5" customHeight="1" hidden="1">
      <c r="A194" s="317" t="s">
        <v>1919</v>
      </c>
      <c r="B194" s="324" t="s">
        <v>1920</v>
      </c>
      <c r="C194" s="468">
        <f>C195</f>
        <v>0</v>
      </c>
      <c r="D194" s="468">
        <f>D195</f>
        <v>0</v>
      </c>
      <c r="E194" s="468">
        <f>E195</f>
        <v>0</v>
      </c>
      <c r="F194" s="451"/>
      <c r="G194" s="451"/>
    </row>
    <row r="195" spans="1:7" ht="25.5" hidden="1">
      <c r="A195" s="317" t="s">
        <v>1921</v>
      </c>
      <c r="B195" s="324" t="s">
        <v>1922</v>
      </c>
      <c r="C195" s="469">
        <v>0</v>
      </c>
      <c r="D195" s="469">
        <v>0</v>
      </c>
      <c r="E195" s="469">
        <v>0</v>
      </c>
      <c r="F195" s="451"/>
      <c r="G195" s="451"/>
    </row>
    <row r="196" spans="1:7" ht="15">
      <c r="A196" s="317" t="s">
        <v>154</v>
      </c>
      <c r="B196" s="318" t="s">
        <v>155</v>
      </c>
      <c r="C196" s="468">
        <f>SUM(C197)</f>
        <v>0</v>
      </c>
      <c r="D196" s="468">
        <f>SUM(D197)</f>
        <v>2934.5</v>
      </c>
      <c r="E196" s="471">
        <f>SUM(E197)</f>
        <v>3000.8</v>
      </c>
      <c r="F196" s="451"/>
      <c r="G196" s="451">
        <f t="shared" si="6"/>
        <v>102.25932867609475</v>
      </c>
    </row>
    <row r="197" spans="1:7" ht="15">
      <c r="A197" s="317" t="s">
        <v>1830</v>
      </c>
      <c r="B197" s="318" t="s">
        <v>156</v>
      </c>
      <c r="C197" s="469">
        <v>0</v>
      </c>
      <c r="D197" s="469">
        <v>2934.5</v>
      </c>
      <c r="E197" s="456">
        <v>3000.8</v>
      </c>
      <c r="F197" s="451"/>
      <c r="G197" s="451">
        <f t="shared" si="6"/>
        <v>102.25932867609475</v>
      </c>
    </row>
    <row r="198" spans="1:7" ht="44.25" customHeight="1">
      <c r="A198" s="317" t="s">
        <v>157</v>
      </c>
      <c r="B198" s="318" t="s">
        <v>720</v>
      </c>
      <c r="C198" s="471">
        <f>C199</f>
        <v>0</v>
      </c>
      <c r="D198" s="471">
        <f>D199</f>
        <v>-1968.8</v>
      </c>
      <c r="E198" s="471">
        <f>E199</f>
        <v>-1664.9</v>
      </c>
      <c r="F198" s="451"/>
      <c r="G198" s="451">
        <f t="shared" si="6"/>
        <v>84.56420154408778</v>
      </c>
    </row>
    <row r="199" spans="1:7" ht="34.5" customHeight="1">
      <c r="A199" s="317" t="s">
        <v>158</v>
      </c>
      <c r="B199" s="318" t="s">
        <v>159</v>
      </c>
      <c r="C199" s="456">
        <v>0</v>
      </c>
      <c r="D199" s="456">
        <v>-1968.8</v>
      </c>
      <c r="E199" s="456">
        <v>-1664.9</v>
      </c>
      <c r="F199" s="451"/>
      <c r="G199" s="451">
        <f t="shared" si="6"/>
        <v>84.56420154408778</v>
      </c>
    </row>
    <row r="200" spans="1:7" ht="15">
      <c r="A200" s="327" t="s">
        <v>1516</v>
      </c>
      <c r="B200" s="224" t="s">
        <v>1517</v>
      </c>
      <c r="C200" s="467">
        <f>C11+C133</f>
        <v>3573996.2</v>
      </c>
      <c r="D200" s="467">
        <f>D11+D133</f>
        <v>4288959.130000001</v>
      </c>
      <c r="E200" s="467">
        <f>E11+E133</f>
        <v>4377015.0940000005</v>
      </c>
      <c r="F200" s="451">
        <f>E200/C200*100</f>
        <v>122.46837570784213</v>
      </c>
      <c r="G200" s="451">
        <f t="shared" si="6"/>
        <v>102.05308470729119</v>
      </c>
    </row>
    <row r="201" spans="1:7" ht="15">
      <c r="A201" s="228"/>
      <c r="B201" s="330" t="s">
        <v>1518</v>
      </c>
      <c r="C201" s="472"/>
      <c r="D201" s="472"/>
      <c r="E201" s="462"/>
      <c r="F201" s="451"/>
      <c r="G201" s="451"/>
    </row>
    <row r="202" spans="1:7" ht="15">
      <c r="A202" s="331" t="s">
        <v>1864</v>
      </c>
      <c r="B202" s="332" t="s">
        <v>1519</v>
      </c>
      <c r="C202" s="473">
        <f>SUM(C203:C212)</f>
        <v>535625.2</v>
      </c>
      <c r="D202" s="473">
        <f>SUM(D203:D212)</f>
        <v>785794</v>
      </c>
      <c r="E202" s="473">
        <f>SUM(E203:E212)</f>
        <v>746923</v>
      </c>
      <c r="F202" s="451">
        <f>E202/C202*100</f>
        <v>139.44881607512121</v>
      </c>
      <c r="G202" s="451">
        <f>E202/D202*100</f>
        <v>95.05328368503704</v>
      </c>
    </row>
    <row r="203" spans="1:7" ht="25.5">
      <c r="A203" s="333" t="s">
        <v>1520</v>
      </c>
      <c r="B203" s="334" t="s">
        <v>1521</v>
      </c>
      <c r="C203" s="457">
        <v>2883.8</v>
      </c>
      <c r="D203" s="457">
        <v>2619.7</v>
      </c>
      <c r="E203" s="462">
        <v>2280.6</v>
      </c>
      <c r="F203" s="451">
        <f aca="true" t="shared" si="11" ref="F203:F266">E203/C203*100</f>
        <v>79.08315417157917</v>
      </c>
      <c r="G203" s="451">
        <f aca="true" t="shared" si="12" ref="G203:G266">E203/D203*100</f>
        <v>87.05576974462726</v>
      </c>
    </row>
    <row r="204" spans="1:7" ht="38.25">
      <c r="A204" s="333" t="s">
        <v>1522</v>
      </c>
      <c r="B204" s="334" t="s">
        <v>1523</v>
      </c>
      <c r="C204" s="457">
        <v>11993.1</v>
      </c>
      <c r="D204" s="457">
        <v>16934.5</v>
      </c>
      <c r="E204" s="462">
        <v>14495.5</v>
      </c>
      <c r="F204" s="451">
        <f t="shared" si="11"/>
        <v>120.86533089860004</v>
      </c>
      <c r="G204" s="451">
        <f t="shared" si="12"/>
        <v>85.59744899465588</v>
      </c>
    </row>
    <row r="205" spans="1:7" s="277" customFormat="1" ht="38.25" customHeight="1">
      <c r="A205" s="333" t="s">
        <v>1524</v>
      </c>
      <c r="B205" s="334" t="s">
        <v>1525</v>
      </c>
      <c r="C205" s="457">
        <v>267288.2</v>
      </c>
      <c r="D205" s="457">
        <v>264855.3</v>
      </c>
      <c r="E205" s="474">
        <v>243466.6</v>
      </c>
      <c r="F205" s="451">
        <f t="shared" si="11"/>
        <v>91.08767240753613</v>
      </c>
      <c r="G205" s="451">
        <f t="shared" si="12"/>
        <v>91.9243828611321</v>
      </c>
    </row>
    <row r="206" spans="1:7" s="277" customFormat="1" ht="21.75" customHeight="1">
      <c r="A206" s="333" t="s">
        <v>1526</v>
      </c>
      <c r="B206" s="334" t="s">
        <v>1527</v>
      </c>
      <c r="C206" s="457">
        <v>0</v>
      </c>
      <c r="D206" s="457">
        <v>270.6</v>
      </c>
      <c r="E206" s="474">
        <v>270.6</v>
      </c>
      <c r="F206" s="451"/>
      <c r="G206" s="451">
        <f t="shared" si="12"/>
        <v>100</v>
      </c>
    </row>
    <row r="207" spans="1:7" ht="25.5">
      <c r="A207" s="333" t="s">
        <v>1528</v>
      </c>
      <c r="B207" s="335" t="s">
        <v>1529</v>
      </c>
      <c r="C207" s="457">
        <v>23536.8</v>
      </c>
      <c r="D207" s="457">
        <v>23896.5</v>
      </c>
      <c r="E207" s="474">
        <v>21746</v>
      </c>
      <c r="F207" s="451">
        <f t="shared" si="11"/>
        <v>92.39148907243126</v>
      </c>
      <c r="G207" s="451">
        <f t="shared" si="12"/>
        <v>91.00077417194987</v>
      </c>
    </row>
    <row r="208" spans="1:7" ht="15">
      <c r="A208" s="333" t="s">
        <v>1530</v>
      </c>
      <c r="B208" s="334" t="s">
        <v>1531</v>
      </c>
      <c r="C208" s="457">
        <v>3019</v>
      </c>
      <c r="D208" s="457">
        <v>3189</v>
      </c>
      <c r="E208" s="462">
        <v>3118.3</v>
      </c>
      <c r="F208" s="451">
        <f t="shared" si="11"/>
        <v>103.2891685988738</v>
      </c>
      <c r="G208" s="451">
        <f t="shared" si="12"/>
        <v>97.78300407651301</v>
      </c>
    </row>
    <row r="209" spans="1:7" ht="15" hidden="1">
      <c r="A209" s="333" t="s">
        <v>1532</v>
      </c>
      <c r="B209" s="334" t="s">
        <v>1533</v>
      </c>
      <c r="C209" s="457"/>
      <c r="D209" s="457"/>
      <c r="E209" s="462"/>
      <c r="F209" s="451" t="e">
        <f t="shared" si="11"/>
        <v>#DIV/0!</v>
      </c>
      <c r="G209" s="451" t="e">
        <f t="shared" si="12"/>
        <v>#DIV/0!</v>
      </c>
    </row>
    <row r="210" spans="1:7" ht="15">
      <c r="A210" s="333" t="s">
        <v>1534</v>
      </c>
      <c r="B210" s="334" t="s">
        <v>1535</v>
      </c>
      <c r="C210" s="457">
        <v>7000</v>
      </c>
      <c r="D210" s="457">
        <v>8333</v>
      </c>
      <c r="E210" s="462"/>
      <c r="F210" s="451">
        <f t="shared" si="11"/>
        <v>0</v>
      </c>
      <c r="G210" s="451">
        <f t="shared" si="12"/>
        <v>0</v>
      </c>
    </row>
    <row r="211" spans="1:7" ht="25.5" hidden="1">
      <c r="A211" s="333" t="s">
        <v>1868</v>
      </c>
      <c r="B211" s="336" t="s">
        <v>1536</v>
      </c>
      <c r="C211" s="457"/>
      <c r="D211" s="457"/>
      <c r="E211" s="462"/>
      <c r="F211" s="451" t="e">
        <f t="shared" si="11"/>
        <v>#DIV/0!</v>
      </c>
      <c r="G211" s="451" t="e">
        <f t="shared" si="12"/>
        <v>#DIV/0!</v>
      </c>
    </row>
    <row r="212" spans="1:7" ht="24" customHeight="1">
      <c r="A212" s="333" t="s">
        <v>1537</v>
      </c>
      <c r="B212" s="334" t="s">
        <v>1538</v>
      </c>
      <c r="C212" s="457">
        <v>219904.3</v>
      </c>
      <c r="D212" s="457">
        <v>465695.4</v>
      </c>
      <c r="E212" s="462">
        <v>461545.4</v>
      </c>
      <c r="F212" s="451">
        <f t="shared" si="11"/>
        <v>209.8846634649709</v>
      </c>
      <c r="G212" s="451">
        <f t="shared" si="12"/>
        <v>99.10885956786346</v>
      </c>
    </row>
    <row r="213" spans="1:7" ht="26.25" customHeight="1">
      <c r="A213" s="331" t="s">
        <v>1539</v>
      </c>
      <c r="B213" s="332" t="s">
        <v>1540</v>
      </c>
      <c r="C213" s="475">
        <f>C214</f>
        <v>50</v>
      </c>
      <c r="D213" s="475">
        <f>D214</f>
        <v>50</v>
      </c>
      <c r="E213" s="473">
        <f>E214</f>
        <v>0</v>
      </c>
      <c r="F213" s="451">
        <f t="shared" si="11"/>
        <v>0</v>
      </c>
      <c r="G213" s="451">
        <f t="shared" si="12"/>
        <v>0</v>
      </c>
    </row>
    <row r="214" spans="1:7" ht="27" customHeight="1">
      <c r="A214" s="333" t="s">
        <v>1541</v>
      </c>
      <c r="B214" s="334" t="s">
        <v>1542</v>
      </c>
      <c r="C214" s="455">
        <v>50</v>
      </c>
      <c r="D214" s="457">
        <v>50</v>
      </c>
      <c r="E214" s="462"/>
      <c r="F214" s="451">
        <f t="shared" si="11"/>
        <v>0</v>
      </c>
      <c r="G214" s="451">
        <f t="shared" si="12"/>
        <v>0</v>
      </c>
    </row>
    <row r="215" spans="1:7" ht="25.5">
      <c r="A215" s="331" t="s">
        <v>1869</v>
      </c>
      <c r="B215" s="332" t="s">
        <v>1543</v>
      </c>
      <c r="C215" s="473">
        <f>C216+C217+C218+C219+C220</f>
        <v>3060</v>
      </c>
      <c r="D215" s="473">
        <f>D216+D217+D218+D219+D220</f>
        <v>7060</v>
      </c>
      <c r="E215" s="473">
        <f>E216+E217+E218+E219+E220</f>
        <v>3943.7</v>
      </c>
      <c r="F215" s="451">
        <f t="shared" si="11"/>
        <v>128.87908496732027</v>
      </c>
      <c r="G215" s="451">
        <f t="shared" si="12"/>
        <v>55.859773371104815</v>
      </c>
    </row>
    <row r="216" spans="1:7" ht="13.5" customHeight="1" hidden="1">
      <c r="A216" s="333" t="s">
        <v>1544</v>
      </c>
      <c r="B216" s="334" t="s">
        <v>1545</v>
      </c>
      <c r="C216" s="457"/>
      <c r="D216" s="457"/>
      <c r="E216" s="462"/>
      <c r="F216" s="451" t="e">
        <f t="shared" si="11"/>
        <v>#DIV/0!</v>
      </c>
      <c r="G216" s="451" t="e">
        <f t="shared" si="12"/>
        <v>#DIV/0!</v>
      </c>
    </row>
    <row r="217" spans="1:7" ht="15" hidden="1">
      <c r="A217" s="333" t="s">
        <v>1546</v>
      </c>
      <c r="B217" s="334" t="s">
        <v>1547</v>
      </c>
      <c r="C217" s="457"/>
      <c r="D217" s="457"/>
      <c r="E217" s="462"/>
      <c r="F217" s="451" t="e">
        <f t="shared" si="11"/>
        <v>#DIV/0!</v>
      </c>
      <c r="G217" s="451" t="e">
        <f t="shared" si="12"/>
        <v>#DIV/0!</v>
      </c>
    </row>
    <row r="218" spans="1:7" ht="25.5">
      <c r="A218" s="333" t="s">
        <v>1870</v>
      </c>
      <c r="B218" s="334" t="s">
        <v>259</v>
      </c>
      <c r="C218" s="457">
        <v>1200</v>
      </c>
      <c r="D218" s="457">
        <v>1200</v>
      </c>
      <c r="E218" s="462">
        <v>630</v>
      </c>
      <c r="F218" s="451">
        <f t="shared" si="11"/>
        <v>52.5</v>
      </c>
      <c r="G218" s="451">
        <f t="shared" si="12"/>
        <v>52.5</v>
      </c>
    </row>
    <row r="219" spans="1:7" ht="17.25" customHeight="1" hidden="1">
      <c r="A219" s="333" t="s">
        <v>260</v>
      </c>
      <c r="B219" s="334" t="s">
        <v>261</v>
      </c>
      <c r="C219" s="457"/>
      <c r="D219" s="457"/>
      <c r="E219" s="474"/>
      <c r="F219" s="451" t="e">
        <f t="shared" si="11"/>
        <v>#DIV/0!</v>
      </c>
      <c r="G219" s="451" t="e">
        <f t="shared" si="12"/>
        <v>#DIV/0!</v>
      </c>
    </row>
    <row r="220" spans="1:7" ht="25.5">
      <c r="A220" s="333" t="s">
        <v>262</v>
      </c>
      <c r="B220" s="334" t="s">
        <v>597</v>
      </c>
      <c r="C220" s="457">
        <v>1860</v>
      </c>
      <c r="D220" s="457">
        <v>5860</v>
      </c>
      <c r="E220" s="457">
        <v>3313.7</v>
      </c>
      <c r="F220" s="451">
        <f t="shared" si="11"/>
        <v>178.15591397849462</v>
      </c>
      <c r="G220" s="451">
        <f t="shared" si="12"/>
        <v>56.54778156996587</v>
      </c>
    </row>
    <row r="221" spans="1:7" ht="13.5" customHeight="1">
      <c r="A221" s="331" t="s">
        <v>1056</v>
      </c>
      <c r="B221" s="332" t="s">
        <v>598</v>
      </c>
      <c r="C221" s="473">
        <f>SUM(C222:C229)</f>
        <v>265167</v>
      </c>
      <c r="D221" s="473">
        <f>SUM(D222:D229)</f>
        <v>323910.8</v>
      </c>
      <c r="E221" s="473">
        <f>SUM(E222:E229)</f>
        <v>281020.4</v>
      </c>
      <c r="F221" s="451">
        <f t="shared" si="11"/>
        <v>105.97864741841934</v>
      </c>
      <c r="G221" s="451">
        <f t="shared" si="12"/>
        <v>86.7585767439678</v>
      </c>
    </row>
    <row r="222" spans="1:7" ht="19.5" customHeight="1" hidden="1">
      <c r="A222" s="333" t="s">
        <v>599</v>
      </c>
      <c r="B222" s="334" t="s">
        <v>600</v>
      </c>
      <c r="C222" s="457"/>
      <c r="D222" s="457"/>
      <c r="E222" s="476"/>
      <c r="F222" s="451" t="e">
        <f t="shared" si="11"/>
        <v>#DIV/0!</v>
      </c>
      <c r="G222" s="451" t="e">
        <f t="shared" si="12"/>
        <v>#DIV/0!</v>
      </c>
    </row>
    <row r="223" spans="1:7" ht="13.5" customHeight="1" hidden="1">
      <c r="A223" s="333" t="s">
        <v>601</v>
      </c>
      <c r="B223" s="334" t="s">
        <v>602</v>
      </c>
      <c r="C223" s="457"/>
      <c r="D223" s="457"/>
      <c r="E223" s="462"/>
      <c r="F223" s="451" t="e">
        <f t="shared" si="11"/>
        <v>#DIV/0!</v>
      </c>
      <c r="G223" s="451" t="e">
        <f t="shared" si="12"/>
        <v>#DIV/0!</v>
      </c>
    </row>
    <row r="224" spans="1:7" ht="13.5" customHeight="1" hidden="1">
      <c r="A224" s="333" t="s">
        <v>603</v>
      </c>
      <c r="B224" s="334" t="s">
        <v>604</v>
      </c>
      <c r="C224" s="457"/>
      <c r="D224" s="457"/>
      <c r="E224" s="462"/>
      <c r="F224" s="451" t="e">
        <f t="shared" si="11"/>
        <v>#DIV/0!</v>
      </c>
      <c r="G224" s="451" t="e">
        <f t="shared" si="12"/>
        <v>#DIV/0!</v>
      </c>
    </row>
    <row r="225" spans="1:7" ht="15">
      <c r="A225" s="333" t="s">
        <v>605</v>
      </c>
      <c r="B225" s="334" t="s">
        <v>606</v>
      </c>
      <c r="C225" s="457">
        <v>1000</v>
      </c>
      <c r="D225" s="457">
        <v>1000</v>
      </c>
      <c r="E225" s="454">
        <v>1000</v>
      </c>
      <c r="F225" s="451">
        <f t="shared" si="11"/>
        <v>100</v>
      </c>
      <c r="G225" s="451">
        <f t="shared" si="12"/>
        <v>100</v>
      </c>
    </row>
    <row r="226" spans="1:7" ht="15">
      <c r="A226" s="333" t="s">
        <v>607</v>
      </c>
      <c r="B226" s="334" t="s">
        <v>608</v>
      </c>
      <c r="C226" s="457">
        <v>92458</v>
      </c>
      <c r="D226" s="457">
        <v>93635</v>
      </c>
      <c r="E226" s="462">
        <v>90579.5</v>
      </c>
      <c r="F226" s="451">
        <f t="shared" si="11"/>
        <v>97.96826667243505</v>
      </c>
      <c r="G226" s="451">
        <f t="shared" si="12"/>
        <v>96.73679713782239</v>
      </c>
    </row>
    <row r="227" spans="1:7" ht="13.5" customHeight="1">
      <c r="A227" s="333" t="s">
        <v>435</v>
      </c>
      <c r="B227" s="334" t="s">
        <v>609</v>
      </c>
      <c r="C227" s="457">
        <v>157365</v>
      </c>
      <c r="D227" s="457">
        <v>197340.3</v>
      </c>
      <c r="E227" s="462">
        <v>159216.2</v>
      </c>
      <c r="F227" s="451">
        <f t="shared" si="11"/>
        <v>101.17637339942173</v>
      </c>
      <c r="G227" s="451">
        <f t="shared" si="12"/>
        <v>80.68103676745197</v>
      </c>
    </row>
    <row r="228" spans="1:7" ht="15">
      <c r="A228" s="333" t="s">
        <v>610</v>
      </c>
      <c r="B228" s="334" t="s">
        <v>611</v>
      </c>
      <c r="C228" s="457">
        <v>11700</v>
      </c>
      <c r="D228" s="457">
        <v>18399.1</v>
      </c>
      <c r="E228" s="462">
        <v>17145.7</v>
      </c>
      <c r="F228" s="451">
        <f t="shared" si="11"/>
        <v>146.54444444444445</v>
      </c>
      <c r="G228" s="451">
        <f t="shared" si="12"/>
        <v>93.18771026843706</v>
      </c>
    </row>
    <row r="229" spans="1:7" ht="24" customHeight="1">
      <c r="A229" s="333" t="s">
        <v>612</v>
      </c>
      <c r="B229" s="334" t="s">
        <v>613</v>
      </c>
      <c r="C229" s="457">
        <v>2644</v>
      </c>
      <c r="D229" s="457">
        <v>13536.4</v>
      </c>
      <c r="E229" s="462">
        <v>13079</v>
      </c>
      <c r="F229" s="451">
        <f t="shared" si="11"/>
        <v>494.6671709531014</v>
      </c>
      <c r="G229" s="451">
        <f t="shared" si="12"/>
        <v>96.62096273750775</v>
      </c>
    </row>
    <row r="230" spans="1:7" ht="13.5" customHeight="1">
      <c r="A230" s="331" t="s">
        <v>433</v>
      </c>
      <c r="B230" s="332" t="s">
        <v>1285</v>
      </c>
      <c r="C230" s="473">
        <f>C231+C232+C233</f>
        <v>208042.8</v>
      </c>
      <c r="D230" s="473">
        <f>D231+D232+D233</f>
        <v>308538.5</v>
      </c>
      <c r="E230" s="473">
        <f>E231+E232+E233</f>
        <v>295465.5</v>
      </c>
      <c r="F230" s="451">
        <f t="shared" si="11"/>
        <v>142.021497499553</v>
      </c>
      <c r="G230" s="451">
        <f t="shared" si="12"/>
        <v>95.76292747906663</v>
      </c>
    </row>
    <row r="231" spans="1:7" ht="15">
      <c r="A231" s="333" t="s">
        <v>434</v>
      </c>
      <c r="B231" s="334" t="s">
        <v>1286</v>
      </c>
      <c r="C231" s="457">
        <v>40900</v>
      </c>
      <c r="D231" s="457">
        <v>77932</v>
      </c>
      <c r="E231" s="462">
        <v>71877.1</v>
      </c>
      <c r="F231" s="451">
        <f t="shared" si="11"/>
        <v>175.73863080684598</v>
      </c>
      <c r="G231" s="451">
        <f t="shared" si="12"/>
        <v>92.23053431196429</v>
      </c>
    </row>
    <row r="232" spans="1:7" ht="15">
      <c r="A232" s="333" t="s">
        <v>783</v>
      </c>
      <c r="B232" s="334" t="s">
        <v>1287</v>
      </c>
      <c r="C232" s="457">
        <v>19318.8</v>
      </c>
      <c r="D232" s="457">
        <v>39937.2</v>
      </c>
      <c r="E232" s="462">
        <v>36929.1</v>
      </c>
      <c r="F232" s="451">
        <f t="shared" si="11"/>
        <v>191.15628299894402</v>
      </c>
      <c r="G232" s="451">
        <f t="shared" si="12"/>
        <v>92.46792464168745</v>
      </c>
    </row>
    <row r="233" spans="1:7" ht="15">
      <c r="A233" s="333" t="s">
        <v>1888</v>
      </c>
      <c r="B233" s="334" t="s">
        <v>1288</v>
      </c>
      <c r="C233" s="457">
        <v>147824</v>
      </c>
      <c r="D233" s="457">
        <v>190669.3</v>
      </c>
      <c r="E233" s="462">
        <v>186659.3</v>
      </c>
      <c r="F233" s="451">
        <f t="shared" si="11"/>
        <v>126.27130912436411</v>
      </c>
      <c r="G233" s="451">
        <f t="shared" si="12"/>
        <v>97.89688219341026</v>
      </c>
    </row>
    <row r="234" spans="1:7" ht="15">
      <c r="A234" s="331" t="s">
        <v>784</v>
      </c>
      <c r="B234" s="332" t="s">
        <v>1289</v>
      </c>
      <c r="C234" s="473">
        <f>C235+C236+C237</f>
        <v>1000</v>
      </c>
      <c r="D234" s="473">
        <f>D235+D236+D237</f>
        <v>1000</v>
      </c>
      <c r="E234" s="473">
        <f>E235+E236+E237</f>
        <v>977.6</v>
      </c>
      <c r="F234" s="451">
        <f t="shared" si="11"/>
        <v>97.76</v>
      </c>
      <c r="G234" s="451">
        <f t="shared" si="12"/>
        <v>97.76</v>
      </c>
    </row>
    <row r="235" spans="1:7" ht="15" hidden="1">
      <c r="A235" s="333" t="s">
        <v>1290</v>
      </c>
      <c r="B235" s="334" t="s">
        <v>1291</v>
      </c>
      <c r="C235" s="457"/>
      <c r="D235" s="457"/>
      <c r="E235" s="462"/>
      <c r="F235" s="451" t="e">
        <f t="shared" si="11"/>
        <v>#DIV/0!</v>
      </c>
      <c r="G235" s="451" t="e">
        <f t="shared" si="12"/>
        <v>#DIV/0!</v>
      </c>
    </row>
    <row r="236" spans="1:7" ht="25.5">
      <c r="A236" s="333" t="s">
        <v>1872</v>
      </c>
      <c r="B236" s="334" t="s">
        <v>1292</v>
      </c>
      <c r="C236" s="457">
        <v>1000</v>
      </c>
      <c r="D236" s="457">
        <v>1000</v>
      </c>
      <c r="E236" s="462">
        <v>977.6</v>
      </c>
      <c r="F236" s="451">
        <f t="shared" si="11"/>
        <v>97.76</v>
      </c>
      <c r="G236" s="451">
        <f t="shared" si="12"/>
        <v>97.76</v>
      </c>
    </row>
    <row r="237" spans="1:7" ht="15" hidden="1">
      <c r="A237" s="333" t="s">
        <v>1293</v>
      </c>
      <c r="B237" s="334" t="s">
        <v>1294</v>
      </c>
      <c r="C237" s="457"/>
      <c r="D237" s="457"/>
      <c r="E237" s="462"/>
      <c r="F237" s="451" t="e">
        <f t="shared" si="11"/>
        <v>#DIV/0!</v>
      </c>
      <c r="G237" s="451" t="e">
        <f t="shared" si="12"/>
        <v>#DIV/0!</v>
      </c>
    </row>
    <row r="238" spans="1:7" ht="15">
      <c r="A238" s="331" t="s">
        <v>37</v>
      </c>
      <c r="B238" s="332" t="s">
        <v>1295</v>
      </c>
      <c r="C238" s="473">
        <f>C239+C240+C241+C242+C243+C244+C245+C246</f>
        <v>1532747.8</v>
      </c>
      <c r="D238" s="473">
        <f>D239+D240+D241+D242+D243+D244+D245+D246</f>
        <v>1715395.3</v>
      </c>
      <c r="E238" s="473">
        <f>E239+E240+E241+E242+E243+E244+E245+E246</f>
        <v>1681997.3000000003</v>
      </c>
      <c r="F238" s="451">
        <f t="shared" si="11"/>
        <v>109.73738145310013</v>
      </c>
      <c r="G238" s="451">
        <f t="shared" si="12"/>
        <v>98.05304351714152</v>
      </c>
    </row>
    <row r="239" spans="1:7" ht="15">
      <c r="A239" s="333" t="s">
        <v>1552</v>
      </c>
      <c r="B239" s="334" t="s">
        <v>1296</v>
      </c>
      <c r="C239" s="457">
        <v>417816</v>
      </c>
      <c r="D239" s="457">
        <v>521771.7</v>
      </c>
      <c r="E239" s="462">
        <v>515366.4</v>
      </c>
      <c r="F239" s="451">
        <f t="shared" si="11"/>
        <v>123.34769372163822</v>
      </c>
      <c r="G239" s="451">
        <f t="shared" si="12"/>
        <v>98.77239413329623</v>
      </c>
    </row>
    <row r="240" spans="1:7" ht="13.5" customHeight="1">
      <c r="A240" s="333" t="s">
        <v>1553</v>
      </c>
      <c r="B240" s="334" t="s">
        <v>1297</v>
      </c>
      <c r="C240" s="457">
        <v>962913</v>
      </c>
      <c r="D240" s="457">
        <v>1032729</v>
      </c>
      <c r="E240" s="462">
        <v>1011368.3</v>
      </c>
      <c r="F240" s="451">
        <f t="shared" si="11"/>
        <v>105.03215763002474</v>
      </c>
      <c r="G240" s="451">
        <f t="shared" si="12"/>
        <v>97.93162581858358</v>
      </c>
    </row>
    <row r="241" spans="1:7" ht="15" hidden="1">
      <c r="A241" s="333" t="s">
        <v>1298</v>
      </c>
      <c r="B241" s="334" t="s">
        <v>1299</v>
      </c>
      <c r="C241" s="457"/>
      <c r="D241" s="457"/>
      <c r="E241" s="462"/>
      <c r="F241" s="451" t="e">
        <f t="shared" si="11"/>
        <v>#DIV/0!</v>
      </c>
      <c r="G241" s="451" t="e">
        <f t="shared" si="12"/>
        <v>#DIV/0!</v>
      </c>
    </row>
    <row r="242" spans="1:7" ht="13.5" customHeight="1" hidden="1">
      <c r="A242" s="333" t="s">
        <v>1300</v>
      </c>
      <c r="B242" s="334" t="s">
        <v>1301</v>
      </c>
      <c r="C242" s="457"/>
      <c r="D242" s="457"/>
      <c r="E242" s="462"/>
      <c r="F242" s="451" t="e">
        <f t="shared" si="11"/>
        <v>#DIV/0!</v>
      </c>
      <c r="G242" s="451" t="e">
        <f t="shared" si="12"/>
        <v>#DIV/0!</v>
      </c>
    </row>
    <row r="243" spans="1:7" ht="25.5">
      <c r="A243" s="333" t="s">
        <v>1302</v>
      </c>
      <c r="B243" s="334" t="s">
        <v>1303</v>
      </c>
      <c r="C243" s="457">
        <v>365</v>
      </c>
      <c r="D243" s="457">
        <v>365</v>
      </c>
      <c r="E243" s="462">
        <v>186.4</v>
      </c>
      <c r="F243" s="451">
        <f t="shared" si="11"/>
        <v>51.06849315068494</v>
      </c>
      <c r="G243" s="451">
        <f t="shared" si="12"/>
        <v>51.06849315068494</v>
      </c>
    </row>
    <row r="244" spans="1:7" ht="15" hidden="1">
      <c r="A244" s="333" t="s">
        <v>1304</v>
      </c>
      <c r="B244" s="334" t="s">
        <v>1305</v>
      </c>
      <c r="C244" s="457"/>
      <c r="D244" s="457"/>
      <c r="E244" s="462"/>
      <c r="F244" s="451" t="e">
        <f t="shared" si="11"/>
        <v>#DIV/0!</v>
      </c>
      <c r="G244" s="451" t="e">
        <f t="shared" si="12"/>
        <v>#DIV/0!</v>
      </c>
    </row>
    <row r="245" spans="1:7" ht="15">
      <c r="A245" s="333" t="s">
        <v>38</v>
      </c>
      <c r="B245" s="334" t="s">
        <v>1306</v>
      </c>
      <c r="C245" s="457">
        <v>32584</v>
      </c>
      <c r="D245" s="457">
        <v>43964</v>
      </c>
      <c r="E245" s="462">
        <v>43482.6</v>
      </c>
      <c r="F245" s="451">
        <f t="shared" si="11"/>
        <v>133.44770439479498</v>
      </c>
      <c r="G245" s="451">
        <f t="shared" si="12"/>
        <v>98.90501319261213</v>
      </c>
    </row>
    <row r="246" spans="1:7" ht="15">
      <c r="A246" s="333" t="s">
        <v>780</v>
      </c>
      <c r="B246" s="334" t="s">
        <v>957</v>
      </c>
      <c r="C246" s="457">
        <v>119069.8</v>
      </c>
      <c r="D246" s="457">
        <v>116565.6</v>
      </c>
      <c r="E246" s="462">
        <v>111593.6</v>
      </c>
      <c r="F246" s="451">
        <f t="shared" si="11"/>
        <v>93.72116187311981</v>
      </c>
      <c r="G246" s="451">
        <f t="shared" si="12"/>
        <v>95.73459065110119</v>
      </c>
    </row>
    <row r="247" spans="1:7" ht="13.5" customHeight="1">
      <c r="A247" s="331" t="s">
        <v>781</v>
      </c>
      <c r="B247" s="332" t="s">
        <v>958</v>
      </c>
      <c r="C247" s="473">
        <f>C248+C249+C250+C251+C252</f>
        <v>269134.6</v>
      </c>
      <c r="D247" s="473">
        <f>D248+D249+D250+D251+D252</f>
        <v>290269.9</v>
      </c>
      <c r="E247" s="473">
        <f>E248+E249+E250+E251+E252</f>
        <v>288494.5</v>
      </c>
      <c r="F247" s="451">
        <f t="shared" si="11"/>
        <v>107.19338947872181</v>
      </c>
      <c r="G247" s="451">
        <f t="shared" si="12"/>
        <v>99.38836234828344</v>
      </c>
    </row>
    <row r="248" spans="1:7" ht="15">
      <c r="A248" s="333" t="s">
        <v>959</v>
      </c>
      <c r="B248" s="334" t="s">
        <v>960</v>
      </c>
      <c r="C248" s="457">
        <v>184907</v>
      </c>
      <c r="D248" s="457">
        <v>194756.9</v>
      </c>
      <c r="E248" s="462">
        <v>194186.6</v>
      </c>
      <c r="F248" s="451">
        <f t="shared" si="11"/>
        <v>105.0185228249877</v>
      </c>
      <c r="G248" s="451">
        <f t="shared" si="12"/>
        <v>99.7071734043826</v>
      </c>
    </row>
    <row r="249" spans="1:7" ht="13.5" customHeight="1" hidden="1">
      <c r="A249" s="333" t="s">
        <v>961</v>
      </c>
      <c r="B249" s="334" t="s">
        <v>962</v>
      </c>
      <c r="C249" s="457"/>
      <c r="D249" s="457"/>
      <c r="E249" s="462"/>
      <c r="F249" s="451" t="e">
        <f t="shared" si="11"/>
        <v>#DIV/0!</v>
      </c>
      <c r="G249" s="451" t="e">
        <f t="shared" si="12"/>
        <v>#DIV/0!</v>
      </c>
    </row>
    <row r="250" spans="1:7" ht="15" hidden="1">
      <c r="A250" s="333" t="s">
        <v>963</v>
      </c>
      <c r="B250" s="334"/>
      <c r="C250" s="457"/>
      <c r="D250" s="457"/>
      <c r="E250" s="462"/>
      <c r="F250" s="451" t="e">
        <f t="shared" si="11"/>
        <v>#DIV/0!</v>
      </c>
      <c r="G250" s="451" t="e">
        <f t="shared" si="12"/>
        <v>#DIV/0!</v>
      </c>
    </row>
    <row r="251" spans="1:7" ht="15">
      <c r="A251" s="333" t="s">
        <v>964</v>
      </c>
      <c r="B251" s="334" t="s">
        <v>965</v>
      </c>
      <c r="C251" s="457">
        <v>84227.6</v>
      </c>
      <c r="D251" s="457">
        <v>95513</v>
      </c>
      <c r="E251" s="462">
        <v>94307.9</v>
      </c>
      <c r="F251" s="451">
        <f t="shared" si="11"/>
        <v>111.96792975224272</v>
      </c>
      <c r="G251" s="451">
        <f t="shared" si="12"/>
        <v>98.7382869347628</v>
      </c>
    </row>
    <row r="252" spans="1:7" ht="15" hidden="1">
      <c r="A252" s="333"/>
      <c r="B252" s="334"/>
      <c r="C252" s="457"/>
      <c r="D252" s="457"/>
      <c r="E252" s="462"/>
      <c r="F252" s="451" t="e">
        <f t="shared" si="11"/>
        <v>#DIV/0!</v>
      </c>
      <c r="G252" s="451" t="e">
        <f t="shared" si="12"/>
        <v>#DIV/0!</v>
      </c>
    </row>
    <row r="253" spans="1:7" ht="15">
      <c r="A253" s="331" t="s">
        <v>1893</v>
      </c>
      <c r="B253" s="332" t="s">
        <v>966</v>
      </c>
      <c r="C253" s="473">
        <f>C254+C255+C256+C257+C258+C259+C260</f>
        <v>539834.6</v>
      </c>
      <c r="D253" s="473">
        <f>D254+D255+D256+D257+D258+D259+D260</f>
        <v>665349.7</v>
      </c>
      <c r="E253" s="473">
        <f>E254+E255+E256+E257+E258+E259+E260</f>
        <v>561452.2999999999</v>
      </c>
      <c r="F253" s="451">
        <f t="shared" si="11"/>
        <v>104.00450434262642</v>
      </c>
      <c r="G253" s="451">
        <f t="shared" si="12"/>
        <v>84.38454244437172</v>
      </c>
    </row>
    <row r="254" spans="1:7" ht="13.5" customHeight="1">
      <c r="A254" s="333" t="s">
        <v>1074</v>
      </c>
      <c r="B254" s="334" t="s">
        <v>967</v>
      </c>
      <c r="C254" s="457">
        <v>211678.2</v>
      </c>
      <c r="D254" s="457">
        <v>252552.9</v>
      </c>
      <c r="E254" s="462">
        <v>194803.2</v>
      </c>
      <c r="F254" s="451">
        <f t="shared" si="11"/>
        <v>92.02799343531832</v>
      </c>
      <c r="G254" s="451">
        <f t="shared" si="12"/>
        <v>77.13362230249584</v>
      </c>
    </row>
    <row r="255" spans="1:7" ht="15">
      <c r="A255" s="333" t="s">
        <v>968</v>
      </c>
      <c r="B255" s="334" t="s">
        <v>969</v>
      </c>
      <c r="C255" s="457">
        <v>178260</v>
      </c>
      <c r="D255" s="457">
        <v>260555.1</v>
      </c>
      <c r="E255" s="462">
        <v>218879.8</v>
      </c>
      <c r="F255" s="451">
        <f t="shared" si="11"/>
        <v>122.78682822843037</v>
      </c>
      <c r="G255" s="451">
        <f t="shared" si="12"/>
        <v>84.00518738646835</v>
      </c>
    </row>
    <row r="256" spans="1:7" ht="15">
      <c r="A256" s="333" t="s">
        <v>970</v>
      </c>
      <c r="B256" s="334" t="s">
        <v>971</v>
      </c>
      <c r="C256" s="457">
        <v>1423</v>
      </c>
      <c r="D256" s="457">
        <v>1462</v>
      </c>
      <c r="E256" s="462">
        <v>256.9</v>
      </c>
      <c r="F256" s="451">
        <f t="shared" si="11"/>
        <v>18.053408292340126</v>
      </c>
      <c r="G256" s="451">
        <f t="shared" si="12"/>
        <v>17.571819425444595</v>
      </c>
    </row>
    <row r="257" spans="1:7" ht="15">
      <c r="A257" s="333" t="s">
        <v>972</v>
      </c>
      <c r="B257" s="334" t="s">
        <v>973</v>
      </c>
      <c r="C257" s="457">
        <v>114642.5</v>
      </c>
      <c r="D257" s="457">
        <v>114715</v>
      </c>
      <c r="E257" s="462">
        <v>113270.6</v>
      </c>
      <c r="F257" s="451">
        <f t="shared" si="11"/>
        <v>98.80332337483918</v>
      </c>
      <c r="G257" s="451">
        <f t="shared" si="12"/>
        <v>98.74087957111102</v>
      </c>
    </row>
    <row r="258" spans="1:7" ht="25.5">
      <c r="A258" s="333" t="s">
        <v>974</v>
      </c>
      <c r="B258" s="334" t="s">
        <v>975</v>
      </c>
      <c r="C258" s="457">
        <v>9615.3</v>
      </c>
      <c r="D258" s="457">
        <v>9798.5</v>
      </c>
      <c r="E258" s="462">
        <v>8468.1</v>
      </c>
      <c r="F258" s="451">
        <f t="shared" si="11"/>
        <v>88.06901500733207</v>
      </c>
      <c r="G258" s="451">
        <f t="shared" si="12"/>
        <v>86.42241159361127</v>
      </c>
    </row>
    <row r="259" spans="1:7" ht="15" hidden="1">
      <c r="A259" s="333" t="s">
        <v>251</v>
      </c>
      <c r="B259" s="334"/>
      <c r="C259" s="457"/>
      <c r="D259" s="457"/>
      <c r="E259" s="462"/>
      <c r="F259" s="451" t="e">
        <f t="shared" si="11"/>
        <v>#DIV/0!</v>
      </c>
      <c r="G259" s="451" t="e">
        <f t="shared" si="12"/>
        <v>#DIV/0!</v>
      </c>
    </row>
    <row r="260" spans="1:7" ht="13.5" customHeight="1">
      <c r="A260" s="333" t="s">
        <v>252</v>
      </c>
      <c r="B260" s="334" t="s">
        <v>352</v>
      </c>
      <c r="C260" s="457">
        <v>24215.6</v>
      </c>
      <c r="D260" s="457">
        <v>26266.2</v>
      </c>
      <c r="E260" s="462">
        <v>25773.7</v>
      </c>
      <c r="F260" s="451">
        <f t="shared" si="11"/>
        <v>106.4342820330696</v>
      </c>
      <c r="G260" s="451">
        <f t="shared" si="12"/>
        <v>98.12496668722541</v>
      </c>
    </row>
    <row r="261" spans="1:7" ht="13.5" customHeight="1">
      <c r="A261" s="331" t="s">
        <v>1551</v>
      </c>
      <c r="B261" s="332" t="s">
        <v>353</v>
      </c>
      <c r="C261" s="473">
        <f>C262+C263+C264+C265+C266</f>
        <v>93599.2</v>
      </c>
      <c r="D261" s="473">
        <f>D262+D263+D264+D265+D266</f>
        <v>132646.2</v>
      </c>
      <c r="E261" s="473">
        <f>E262+E263+E264+E265+E266</f>
        <v>95344.4</v>
      </c>
      <c r="F261" s="451">
        <f t="shared" si="11"/>
        <v>101.86454585081923</v>
      </c>
      <c r="G261" s="451">
        <f t="shared" si="12"/>
        <v>71.878727019696</v>
      </c>
    </row>
    <row r="262" spans="1:7" ht="15">
      <c r="A262" s="333" t="s">
        <v>354</v>
      </c>
      <c r="B262" s="334" t="s">
        <v>355</v>
      </c>
      <c r="C262" s="457">
        <v>6767</v>
      </c>
      <c r="D262" s="457">
        <v>6767</v>
      </c>
      <c r="E262" s="462">
        <v>5338.4</v>
      </c>
      <c r="F262" s="451">
        <f t="shared" si="11"/>
        <v>78.88872469336485</v>
      </c>
      <c r="G262" s="451">
        <f t="shared" si="12"/>
        <v>78.88872469336485</v>
      </c>
    </row>
    <row r="263" spans="1:7" ht="14.25" customHeight="1" hidden="1">
      <c r="A263" s="333" t="s">
        <v>356</v>
      </c>
      <c r="B263" s="334" t="s">
        <v>357</v>
      </c>
      <c r="C263" s="457"/>
      <c r="D263" s="457"/>
      <c r="E263" s="462"/>
      <c r="F263" s="451" t="e">
        <f t="shared" si="11"/>
        <v>#DIV/0!</v>
      </c>
      <c r="G263" s="451" t="e">
        <f t="shared" si="12"/>
        <v>#DIV/0!</v>
      </c>
    </row>
    <row r="264" spans="1:7" ht="15">
      <c r="A264" s="333" t="s">
        <v>1048</v>
      </c>
      <c r="B264" s="334" t="s">
        <v>358</v>
      </c>
      <c r="C264" s="457">
        <v>64261.2</v>
      </c>
      <c r="D264" s="457">
        <v>102915.8</v>
      </c>
      <c r="E264" s="474">
        <v>70453.9</v>
      </c>
      <c r="F264" s="451">
        <f t="shared" si="11"/>
        <v>109.63676370811623</v>
      </c>
      <c r="G264" s="451">
        <f t="shared" si="12"/>
        <v>68.4578072560287</v>
      </c>
    </row>
    <row r="265" spans="1:7" ht="15">
      <c r="A265" s="333" t="s">
        <v>359</v>
      </c>
      <c r="B265" s="334" t="s">
        <v>360</v>
      </c>
      <c r="C265" s="457">
        <v>22571</v>
      </c>
      <c r="D265" s="457">
        <v>22963.4</v>
      </c>
      <c r="E265" s="462">
        <v>19552.1</v>
      </c>
      <c r="F265" s="451">
        <f t="shared" si="11"/>
        <v>86.62487262416374</v>
      </c>
      <c r="G265" s="451">
        <f t="shared" si="12"/>
        <v>85.14462144107578</v>
      </c>
    </row>
    <row r="266" spans="1:7" ht="15" hidden="1">
      <c r="A266" s="333" t="s">
        <v>361</v>
      </c>
      <c r="B266" s="334" t="s">
        <v>362</v>
      </c>
      <c r="C266" s="457"/>
      <c r="D266" s="457"/>
      <c r="E266" s="462"/>
      <c r="F266" s="451" t="e">
        <f t="shared" si="11"/>
        <v>#DIV/0!</v>
      </c>
      <c r="G266" s="451" t="e">
        <f t="shared" si="12"/>
        <v>#DIV/0!</v>
      </c>
    </row>
    <row r="267" spans="1:7" ht="15" customHeight="1">
      <c r="A267" s="337" t="s">
        <v>363</v>
      </c>
      <c r="B267" s="338" t="s">
        <v>364</v>
      </c>
      <c r="C267" s="477">
        <f>C268</f>
        <v>106451</v>
      </c>
      <c r="D267" s="477">
        <f>D268</f>
        <v>107897</v>
      </c>
      <c r="E267" s="477">
        <f>E268</f>
        <v>106192.4</v>
      </c>
      <c r="F267" s="451">
        <f aca="true" t="shared" si="13" ref="F267:F277">E267/C267*100</f>
        <v>99.75707132859249</v>
      </c>
      <c r="G267" s="451">
        <f>E267/D267*100</f>
        <v>98.42015996737629</v>
      </c>
    </row>
    <row r="268" spans="1:7" ht="13.5" customHeight="1">
      <c r="A268" s="333" t="s">
        <v>365</v>
      </c>
      <c r="B268" s="334" t="s">
        <v>366</v>
      </c>
      <c r="C268" s="457">
        <v>106451</v>
      </c>
      <c r="D268" s="457">
        <v>107897</v>
      </c>
      <c r="E268" s="462">
        <v>106192.4</v>
      </c>
      <c r="F268" s="451">
        <f t="shared" si="13"/>
        <v>99.75707132859249</v>
      </c>
      <c r="G268" s="451">
        <f>E268/D268*100</f>
        <v>98.42015996737629</v>
      </c>
    </row>
    <row r="269" spans="1:9" ht="15">
      <c r="A269" s="337" t="s">
        <v>367</v>
      </c>
      <c r="B269" s="338" t="s">
        <v>368</v>
      </c>
      <c r="C269" s="477">
        <f>C270+C271</f>
        <v>16904</v>
      </c>
      <c r="D269" s="477">
        <f>D270+D271</f>
        <v>17904</v>
      </c>
      <c r="E269" s="477">
        <f>E270+E271</f>
        <v>17904</v>
      </c>
      <c r="F269" s="451">
        <f t="shared" si="13"/>
        <v>105.91575958353052</v>
      </c>
      <c r="G269" s="451">
        <f>E269/D269*100</f>
        <v>100</v>
      </c>
      <c r="I269" s="208"/>
    </row>
    <row r="270" spans="1:7" ht="15">
      <c r="A270" s="333" t="s">
        <v>755</v>
      </c>
      <c r="B270" s="334" t="s">
        <v>471</v>
      </c>
      <c r="C270" s="457">
        <v>10388</v>
      </c>
      <c r="D270" s="457">
        <v>10388</v>
      </c>
      <c r="E270" s="462">
        <v>10388</v>
      </c>
      <c r="F270" s="451">
        <f t="shared" si="13"/>
        <v>100</v>
      </c>
      <c r="G270" s="451">
        <f>E270/D270*100</f>
        <v>100</v>
      </c>
    </row>
    <row r="271" spans="1:7" ht="13.5" customHeight="1">
      <c r="A271" s="333" t="s">
        <v>472</v>
      </c>
      <c r="B271" s="334" t="s">
        <v>166</v>
      </c>
      <c r="C271" s="457">
        <v>6516</v>
      </c>
      <c r="D271" s="457">
        <v>7516</v>
      </c>
      <c r="E271" s="462">
        <v>7516</v>
      </c>
      <c r="F271" s="451">
        <f t="shared" si="13"/>
        <v>115.34683855125844</v>
      </c>
      <c r="G271" s="451">
        <f>E271/D271*100</f>
        <v>100</v>
      </c>
    </row>
    <row r="272" spans="1:7" ht="13.5" customHeight="1">
      <c r="A272" s="337" t="s">
        <v>473</v>
      </c>
      <c r="B272" s="338" t="s">
        <v>474</v>
      </c>
      <c r="C272" s="477">
        <f>C273</f>
        <v>55000</v>
      </c>
      <c r="D272" s="477">
        <f>D273</f>
        <v>0</v>
      </c>
      <c r="E272" s="477">
        <f>E273</f>
        <v>0</v>
      </c>
      <c r="F272" s="451">
        <f t="shared" si="13"/>
        <v>0</v>
      </c>
      <c r="G272" s="451"/>
    </row>
    <row r="273" spans="1:7" ht="13.5" customHeight="1">
      <c r="A273" s="333" t="s">
        <v>475</v>
      </c>
      <c r="B273" s="334" t="s">
        <v>476</v>
      </c>
      <c r="C273" s="457">
        <v>55000</v>
      </c>
      <c r="D273" s="457"/>
      <c r="E273" s="462"/>
      <c r="F273" s="451">
        <f t="shared" si="13"/>
        <v>0</v>
      </c>
      <c r="G273" s="451"/>
    </row>
    <row r="274" spans="1:7" ht="30" customHeight="1">
      <c r="A274" s="337" t="s">
        <v>477</v>
      </c>
      <c r="B274" s="338" t="s">
        <v>478</v>
      </c>
      <c r="C274" s="477">
        <f>C275</f>
        <v>139659</v>
      </c>
      <c r="D274" s="477">
        <f>D275</f>
        <v>146132</v>
      </c>
      <c r="E274" s="477">
        <f>E275</f>
        <v>146132</v>
      </c>
      <c r="F274" s="451">
        <f t="shared" si="13"/>
        <v>104.63486062480756</v>
      </c>
      <c r="G274" s="451">
        <f>E274/D274*100</f>
        <v>100</v>
      </c>
    </row>
    <row r="275" spans="1:7" ht="13.5" customHeight="1">
      <c r="A275" s="333" t="s">
        <v>479</v>
      </c>
      <c r="B275" s="334" t="s">
        <v>480</v>
      </c>
      <c r="C275" s="457">
        <v>139659</v>
      </c>
      <c r="D275" s="457">
        <v>146132</v>
      </c>
      <c r="E275" s="462">
        <v>146132</v>
      </c>
      <c r="F275" s="451">
        <f t="shared" si="13"/>
        <v>104.63486062480756</v>
      </c>
      <c r="G275" s="451">
        <f>E275/D275*100</f>
        <v>100</v>
      </c>
    </row>
    <row r="276" spans="1:7" ht="13.5" customHeight="1">
      <c r="A276" s="331" t="s">
        <v>481</v>
      </c>
      <c r="B276" s="339" t="s">
        <v>482</v>
      </c>
      <c r="C276" s="473">
        <f>C202+C213+C215+C221+C230+C234+C238+C247+C253+C261+C267+C269+C272+C274</f>
        <v>3766275.2</v>
      </c>
      <c r="D276" s="473">
        <f>D202+D213+D215+D221+D230+D234+D238+D247+D253+D261+D267+D269+D272+D274</f>
        <v>4501947.4</v>
      </c>
      <c r="E276" s="473">
        <f>E202+E213+E215+E221+E230+E234+E238+E247+E253+E261+E267+E269+E272+E274</f>
        <v>4225847.1</v>
      </c>
      <c r="F276" s="451">
        <f t="shared" si="13"/>
        <v>112.20229206830132</v>
      </c>
      <c r="G276" s="451">
        <f>E276/D276*100</f>
        <v>93.86709182786097</v>
      </c>
    </row>
    <row r="277" spans="1:7" ht="13.5" customHeight="1" hidden="1">
      <c r="A277" s="331" t="s">
        <v>483</v>
      </c>
      <c r="B277" s="339" t="s">
        <v>1226</v>
      </c>
      <c r="C277" s="473"/>
      <c r="D277" s="473"/>
      <c r="E277" s="473"/>
      <c r="F277" s="451" t="e">
        <f t="shared" si="13"/>
        <v>#DIV/0!</v>
      </c>
      <c r="G277" s="451" t="e">
        <f>E277/D277*100</f>
        <v>#DIV/0!</v>
      </c>
    </row>
    <row r="278" spans="1:7" ht="15">
      <c r="A278" s="331" t="s">
        <v>1227</v>
      </c>
      <c r="B278" s="339" t="s">
        <v>1228</v>
      </c>
      <c r="C278" s="473">
        <f>C276</f>
        <v>3766275.2</v>
      </c>
      <c r="D278" s="473">
        <f>D276</f>
        <v>4501947.4</v>
      </c>
      <c r="E278" s="473">
        <f>E276</f>
        <v>4225847.1</v>
      </c>
      <c r="F278" s="451">
        <f>E278/C278*100</f>
        <v>112.20229206830132</v>
      </c>
      <c r="G278" s="451">
        <f>E278/D278*100</f>
        <v>93.86709182786097</v>
      </c>
    </row>
    <row r="279" spans="1:7" ht="36">
      <c r="A279" s="226" t="s">
        <v>1229</v>
      </c>
      <c r="B279" s="227" t="s">
        <v>344</v>
      </c>
      <c r="C279" s="478">
        <f>C200-C278</f>
        <v>-192279</v>
      </c>
      <c r="D279" s="478">
        <f>D200-D278</f>
        <v>-212988.26999999955</v>
      </c>
      <c r="E279" s="478">
        <f>E200-E278</f>
        <v>151167.99400000088</v>
      </c>
      <c r="F279" s="479"/>
      <c r="G279" s="479"/>
    </row>
    <row r="280" spans="1:7" ht="20.25" customHeight="1">
      <c r="A280" s="287"/>
      <c r="B280" s="228" t="s">
        <v>345</v>
      </c>
      <c r="C280" s="480"/>
      <c r="D280" s="481"/>
      <c r="E280" s="482"/>
      <c r="F280" s="479"/>
      <c r="G280" s="479"/>
    </row>
    <row r="281" spans="1:7" ht="39" customHeight="1">
      <c r="A281" s="288"/>
      <c r="B281" s="285" t="s">
        <v>346</v>
      </c>
      <c r="C281" s="483"/>
      <c r="D281" s="481"/>
      <c r="E281" s="481"/>
      <c r="F281" s="479"/>
      <c r="G281" s="479"/>
    </row>
    <row r="282" spans="1:7" ht="26.25" customHeight="1">
      <c r="A282" s="289" t="s">
        <v>347</v>
      </c>
      <c r="B282" s="229" t="s">
        <v>348</v>
      </c>
      <c r="C282" s="481">
        <f>'Приложение 3'!C12</f>
        <v>192279</v>
      </c>
      <c r="D282" s="481">
        <f>'Приложение 3'!D12</f>
        <v>0</v>
      </c>
      <c r="E282" s="481">
        <f>'Приложение 3'!E12</f>
        <v>0</v>
      </c>
      <c r="F282" s="479"/>
      <c r="G282" s="479"/>
    </row>
    <row r="283" spans="1:7" ht="27.75" customHeight="1">
      <c r="A283" s="290" t="s">
        <v>349</v>
      </c>
      <c r="B283" s="230" t="s">
        <v>350</v>
      </c>
      <c r="C283" s="481">
        <f>'Приложение 3'!C13</f>
        <v>250000</v>
      </c>
      <c r="D283" s="481">
        <f>'Приложение 3'!D13</f>
        <v>0</v>
      </c>
      <c r="E283" s="481">
        <f>'Приложение 3'!E13</f>
        <v>0</v>
      </c>
      <c r="F283" s="484"/>
      <c r="G283" s="484"/>
    </row>
    <row r="284" spans="1:7" ht="24">
      <c r="A284" s="290" t="s">
        <v>351</v>
      </c>
      <c r="B284" s="231" t="s">
        <v>998</v>
      </c>
      <c r="C284" s="485">
        <f>'Приложение 3'!C14</f>
        <v>250000</v>
      </c>
      <c r="D284" s="481">
        <f>'Приложение 3'!D14</f>
        <v>0</v>
      </c>
      <c r="E284" s="481">
        <f>'Приложение 3'!E14</f>
        <v>0</v>
      </c>
      <c r="F284" s="486"/>
      <c r="G284" s="486"/>
    </row>
    <row r="285" spans="1:7" ht="27.75" customHeight="1">
      <c r="A285" s="290" t="s">
        <v>999</v>
      </c>
      <c r="B285" s="231" t="s">
        <v>1000</v>
      </c>
      <c r="C285" s="481">
        <f>'Приложение 3'!C15</f>
        <v>57721</v>
      </c>
      <c r="D285" s="481">
        <f>'Приложение 3'!D15</f>
        <v>0</v>
      </c>
      <c r="E285" s="481">
        <f>'Приложение 3'!E15</f>
        <v>0</v>
      </c>
      <c r="F285" s="486"/>
      <c r="G285" s="486"/>
    </row>
    <row r="286" spans="1:7" ht="32.25" customHeight="1">
      <c r="A286" s="290" t="s">
        <v>1001</v>
      </c>
      <c r="B286" s="232" t="s">
        <v>1002</v>
      </c>
      <c r="C286" s="485">
        <f>'Приложение 3'!C16</f>
        <v>57721</v>
      </c>
      <c r="D286" s="481">
        <v>0</v>
      </c>
      <c r="E286" s="481">
        <f>'Приложение 3'!E16</f>
        <v>0</v>
      </c>
      <c r="F286" s="486"/>
      <c r="G286" s="486"/>
    </row>
    <row r="287" spans="1:7" ht="27.75" customHeight="1" hidden="1">
      <c r="A287" s="291" t="s">
        <v>1003</v>
      </c>
      <c r="B287" s="233" t="s">
        <v>1004</v>
      </c>
      <c r="C287" s="481"/>
      <c r="D287" s="487"/>
      <c r="E287" s="488"/>
      <c r="F287" s="486"/>
      <c r="G287" s="486"/>
    </row>
    <row r="288" spans="1:7" ht="27.75" customHeight="1" hidden="1">
      <c r="A288" s="290" t="s">
        <v>1005</v>
      </c>
      <c r="B288" s="234" t="s">
        <v>1899</v>
      </c>
      <c r="C288" s="481"/>
      <c r="D288" s="487"/>
      <c r="E288" s="489"/>
      <c r="F288" s="486"/>
      <c r="G288" s="486"/>
    </row>
    <row r="289" spans="1:7" ht="24" hidden="1">
      <c r="A289" s="290" t="s">
        <v>1900</v>
      </c>
      <c r="B289" s="235" t="s">
        <v>1901</v>
      </c>
      <c r="C289" s="481"/>
      <c r="D289" s="485"/>
      <c r="E289" s="490"/>
      <c r="F289" s="491"/>
      <c r="G289" s="491"/>
    </row>
    <row r="290" spans="1:7" ht="24" hidden="1">
      <c r="A290" s="290" t="s">
        <v>1902</v>
      </c>
      <c r="B290" s="236" t="s">
        <v>1016</v>
      </c>
      <c r="C290" s="481"/>
      <c r="D290" s="481"/>
      <c r="E290" s="482"/>
      <c r="F290" s="492"/>
      <c r="G290" s="491"/>
    </row>
    <row r="291" spans="1:7" ht="24" hidden="1">
      <c r="A291" s="290" t="s">
        <v>1017</v>
      </c>
      <c r="B291" s="231" t="s">
        <v>1018</v>
      </c>
      <c r="C291" s="481"/>
      <c r="D291" s="481"/>
      <c r="E291" s="481"/>
      <c r="F291" s="479"/>
      <c r="G291" s="479"/>
    </row>
    <row r="292" spans="1:7" ht="24">
      <c r="A292" s="291" t="s">
        <v>1019</v>
      </c>
      <c r="B292" s="229" t="s">
        <v>1020</v>
      </c>
      <c r="C292" s="481">
        <f>'Приложение 3'!C22</f>
        <v>0</v>
      </c>
      <c r="D292" s="481">
        <f>'Приложение 3'!D22</f>
        <v>212988.30000000075</v>
      </c>
      <c r="E292" s="481">
        <f>'Приложение 3'!E22</f>
        <v>-151168</v>
      </c>
      <c r="F292" s="479"/>
      <c r="G292" s="479"/>
    </row>
    <row r="293" spans="1:7" ht="24">
      <c r="A293" s="292" t="s">
        <v>1021</v>
      </c>
      <c r="B293" s="234" t="s">
        <v>1022</v>
      </c>
      <c r="C293" s="481">
        <f>'Приложение 3'!C23</f>
        <v>3823996.2</v>
      </c>
      <c r="D293" s="481">
        <f>'Приложение 3'!D23</f>
        <v>4288959.1</v>
      </c>
      <c r="E293" s="481">
        <f>'Приложение 3'!E23</f>
        <v>4377015.1</v>
      </c>
      <c r="F293" s="451">
        <f>E293/C293*100</f>
        <v>114.46180568903284</v>
      </c>
      <c r="G293" s="451">
        <f aca="true" t="shared" si="14" ref="G293:G298">E293/D293*100</f>
        <v>102.05308556101642</v>
      </c>
    </row>
    <row r="294" spans="1:7" ht="24">
      <c r="A294" s="292" t="s">
        <v>1023</v>
      </c>
      <c r="B294" s="235" t="s">
        <v>1024</v>
      </c>
      <c r="C294" s="481">
        <f>'Приложение 3'!C24</f>
        <v>3823996.2</v>
      </c>
      <c r="D294" s="481">
        <f>'Приложение 3'!D24</f>
        <v>4288959.1</v>
      </c>
      <c r="E294" s="481">
        <f>'Приложение 3'!E24</f>
        <v>4377015.1</v>
      </c>
      <c r="F294" s="451">
        <f aca="true" t="shared" si="15" ref="F294:F310">E294/C294*100</f>
        <v>114.46180568903284</v>
      </c>
      <c r="G294" s="451">
        <f t="shared" si="14"/>
        <v>102.05308556101642</v>
      </c>
    </row>
    <row r="295" spans="1:7" ht="24">
      <c r="A295" s="292" t="s">
        <v>1025</v>
      </c>
      <c r="B295" s="235" t="s">
        <v>1026</v>
      </c>
      <c r="C295" s="485">
        <f>'Приложение 3'!C25</f>
        <v>3823996.2</v>
      </c>
      <c r="D295" s="485">
        <f>'Приложение 3'!D25</f>
        <v>4288959.1</v>
      </c>
      <c r="E295" s="485">
        <f>'Приложение 3'!E25</f>
        <v>4377015.1</v>
      </c>
      <c r="F295" s="451">
        <f t="shared" si="15"/>
        <v>114.46180568903284</v>
      </c>
      <c r="G295" s="451">
        <f t="shared" si="14"/>
        <v>102.05308556101642</v>
      </c>
    </row>
    <row r="296" spans="1:7" ht="24">
      <c r="A296" s="292" t="s">
        <v>1027</v>
      </c>
      <c r="B296" s="234" t="s">
        <v>1028</v>
      </c>
      <c r="C296" s="481">
        <f>'Приложение 3'!C26</f>
        <v>3823996.2</v>
      </c>
      <c r="D296" s="481">
        <f>'Приложение 3'!D26</f>
        <v>4501947.4</v>
      </c>
      <c r="E296" s="481">
        <f>'Приложение 3'!E26</f>
        <v>4225847.1</v>
      </c>
      <c r="F296" s="451">
        <f t="shared" si="15"/>
        <v>110.50866368538755</v>
      </c>
      <c r="G296" s="451">
        <f t="shared" si="14"/>
        <v>93.86709182786097</v>
      </c>
    </row>
    <row r="297" spans="1:7" ht="24">
      <c r="A297" s="292" t="s">
        <v>1029</v>
      </c>
      <c r="B297" s="235" t="s">
        <v>1028</v>
      </c>
      <c r="C297" s="481">
        <f>'Приложение 3'!C27</f>
        <v>3823996.2</v>
      </c>
      <c r="D297" s="481">
        <f>'Приложение 3'!D27</f>
        <v>4501947.4</v>
      </c>
      <c r="E297" s="481">
        <f>'Приложение 3'!E27</f>
        <v>4225847.1</v>
      </c>
      <c r="F297" s="451">
        <f t="shared" si="15"/>
        <v>110.50866368538755</v>
      </c>
      <c r="G297" s="451">
        <f t="shared" si="14"/>
        <v>93.86709182786097</v>
      </c>
    </row>
    <row r="298" spans="1:7" ht="13.5" customHeight="1">
      <c r="A298" s="292" t="s">
        <v>1030</v>
      </c>
      <c r="B298" s="235" t="s">
        <v>1031</v>
      </c>
      <c r="C298" s="485">
        <f>'Приложение 3'!C28</f>
        <v>3823996.2</v>
      </c>
      <c r="D298" s="485">
        <f>'Приложение 3'!D28</f>
        <v>4501947.4</v>
      </c>
      <c r="E298" s="485">
        <f>'Приложение 3'!E28</f>
        <v>4225847.1</v>
      </c>
      <c r="F298" s="451">
        <f t="shared" si="15"/>
        <v>110.50866368538755</v>
      </c>
      <c r="G298" s="451">
        <f t="shared" si="14"/>
        <v>93.86709182786097</v>
      </c>
    </row>
    <row r="299" spans="1:7" ht="24" customHeight="1" hidden="1">
      <c r="A299" s="289" t="s">
        <v>1032</v>
      </c>
      <c r="B299" s="233" t="s">
        <v>1033</v>
      </c>
      <c r="C299" s="481"/>
      <c r="D299" s="493"/>
      <c r="E299" s="481"/>
      <c r="F299" s="451" t="e">
        <f t="shared" si="15"/>
        <v>#DIV/0!</v>
      </c>
      <c r="G299" s="479"/>
    </row>
    <row r="300" spans="1:7" ht="34.5" customHeight="1" hidden="1">
      <c r="A300" s="289" t="s">
        <v>1034</v>
      </c>
      <c r="B300" s="233" t="s">
        <v>1035</v>
      </c>
      <c r="C300" s="481">
        <f>C301</f>
        <v>0</v>
      </c>
      <c r="D300" s="481"/>
      <c r="E300" s="481"/>
      <c r="F300" s="451" t="e">
        <f t="shared" si="15"/>
        <v>#DIV/0!</v>
      </c>
      <c r="G300" s="479"/>
    </row>
    <row r="301" spans="1:7" ht="34.5" customHeight="1" hidden="1">
      <c r="A301" s="292" t="s">
        <v>1036</v>
      </c>
      <c r="B301" s="234" t="s">
        <v>1037</v>
      </c>
      <c r="C301" s="481">
        <f>C302</f>
        <v>0</v>
      </c>
      <c r="D301" s="481"/>
      <c r="E301" s="481"/>
      <c r="F301" s="451" t="e">
        <f t="shared" si="15"/>
        <v>#DIV/0!</v>
      </c>
      <c r="G301" s="479"/>
    </row>
    <row r="302" spans="1:7" ht="29.25" customHeight="1" hidden="1">
      <c r="A302" s="292" t="s">
        <v>1038</v>
      </c>
      <c r="B302" s="235" t="s">
        <v>1039</v>
      </c>
      <c r="C302" s="481">
        <f>'[1]Источники'!C38/1000</f>
        <v>0</v>
      </c>
      <c r="D302" s="481"/>
      <c r="E302" s="295"/>
      <c r="F302" s="451" t="e">
        <f t="shared" si="15"/>
        <v>#DIV/0!</v>
      </c>
      <c r="G302" s="479"/>
    </row>
    <row r="303" spans="1:7" ht="27.75" customHeight="1" hidden="1">
      <c r="A303" s="289" t="s">
        <v>1040</v>
      </c>
      <c r="B303" s="233" t="s">
        <v>1041</v>
      </c>
      <c r="C303" s="481">
        <f>C304</f>
        <v>0</v>
      </c>
      <c r="D303" s="485"/>
      <c r="E303" s="295"/>
      <c r="F303" s="451" t="e">
        <f t="shared" si="15"/>
        <v>#DIV/0!</v>
      </c>
      <c r="G303" s="479"/>
    </row>
    <row r="304" spans="1:7" ht="60" customHeight="1" hidden="1">
      <c r="A304" s="292" t="s">
        <v>112</v>
      </c>
      <c r="B304" s="234" t="s">
        <v>113</v>
      </c>
      <c r="C304" s="481">
        <f>C305</f>
        <v>0</v>
      </c>
      <c r="D304" s="494"/>
      <c r="E304" s="494"/>
      <c r="F304" s="451" t="e">
        <f t="shared" si="15"/>
        <v>#DIV/0!</v>
      </c>
      <c r="G304" s="495"/>
    </row>
    <row r="305" spans="1:7" ht="23.25" customHeight="1" hidden="1">
      <c r="A305" s="292" t="s">
        <v>114</v>
      </c>
      <c r="B305" s="235" t="s">
        <v>124</v>
      </c>
      <c r="C305" s="481"/>
      <c r="D305" s="496"/>
      <c r="E305" s="496"/>
      <c r="F305" s="451" t="e">
        <f t="shared" si="15"/>
        <v>#DIV/0!</v>
      </c>
      <c r="G305" s="495"/>
    </row>
    <row r="306" spans="1:7" ht="31.5" customHeight="1" hidden="1">
      <c r="A306" s="289" t="s">
        <v>125</v>
      </c>
      <c r="B306" s="237" t="s">
        <v>126</v>
      </c>
      <c r="C306" s="481">
        <f>C307-C309</f>
        <v>0</v>
      </c>
      <c r="D306" s="494"/>
      <c r="E306" s="497"/>
      <c r="F306" s="451" t="e">
        <f t="shared" si="15"/>
        <v>#DIV/0!</v>
      </c>
      <c r="G306" s="495"/>
    </row>
    <row r="307" spans="1:7" ht="24" hidden="1">
      <c r="A307" s="292" t="s">
        <v>127</v>
      </c>
      <c r="B307" s="238" t="s">
        <v>128</v>
      </c>
      <c r="C307" s="481">
        <f>C308</f>
        <v>0</v>
      </c>
      <c r="D307" s="498"/>
      <c r="E307" s="498"/>
      <c r="F307" s="451" t="e">
        <f t="shared" si="15"/>
        <v>#DIV/0!</v>
      </c>
      <c r="G307" s="495"/>
    </row>
    <row r="308" spans="1:7" ht="24" hidden="1">
      <c r="A308" s="292" t="s">
        <v>129</v>
      </c>
      <c r="B308" s="239" t="s">
        <v>130</v>
      </c>
      <c r="C308" s="481">
        <f>'[1]Источники'!C41/1000</f>
        <v>0</v>
      </c>
      <c r="D308" s="498"/>
      <c r="E308" s="498"/>
      <c r="F308" s="451" t="e">
        <f t="shared" si="15"/>
        <v>#DIV/0!</v>
      </c>
      <c r="G308" s="495"/>
    </row>
    <row r="309" spans="1:7" ht="24" hidden="1">
      <c r="A309" s="292" t="s">
        <v>131</v>
      </c>
      <c r="B309" s="238" t="s">
        <v>132</v>
      </c>
      <c r="C309" s="481">
        <f>C310</f>
        <v>0</v>
      </c>
      <c r="D309" s="499"/>
      <c r="E309" s="500"/>
      <c r="F309" s="451" t="e">
        <f t="shared" si="15"/>
        <v>#DIV/0!</v>
      </c>
      <c r="G309" s="500"/>
    </row>
    <row r="310" spans="1:7" ht="24" hidden="1">
      <c r="A310" s="293" t="s">
        <v>133</v>
      </c>
      <c r="B310" s="240" t="s">
        <v>134</v>
      </c>
      <c r="C310" s="501">
        <f>'[1]Источники'!C43/1000</f>
        <v>0</v>
      </c>
      <c r="D310" s="499"/>
      <c r="E310" s="500"/>
      <c r="F310" s="451" t="e">
        <f t="shared" si="15"/>
        <v>#DIV/0!</v>
      </c>
      <c r="G310" s="500"/>
    </row>
    <row r="311" spans="1:7" ht="24">
      <c r="A311" s="294" t="s">
        <v>135</v>
      </c>
      <c r="B311" s="225" t="s">
        <v>136</v>
      </c>
      <c r="C311" s="501">
        <f>C312</f>
        <v>192279</v>
      </c>
      <c r="D311" s="501">
        <f>D312</f>
        <v>212988.30000000075</v>
      </c>
      <c r="E311" s="501">
        <f>E312</f>
        <v>-151168</v>
      </c>
      <c r="F311" s="451"/>
      <c r="G311" s="500"/>
    </row>
    <row r="312" spans="1:7" ht="24">
      <c r="A312" s="294" t="s">
        <v>137</v>
      </c>
      <c r="B312" s="241" t="s">
        <v>138</v>
      </c>
      <c r="C312" s="481">
        <f>C292+C282</f>
        <v>192279</v>
      </c>
      <c r="D312" s="493">
        <f>D292+D282</f>
        <v>212988.30000000075</v>
      </c>
      <c r="E312" s="481">
        <f>E292+E282</f>
        <v>-151168</v>
      </c>
      <c r="F312" s="451"/>
      <c r="G312" s="500"/>
    </row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</sheetData>
  <sheetProtection/>
  <mergeCells count="3">
    <mergeCell ref="A5:G5"/>
    <mergeCell ref="A6:G6"/>
    <mergeCell ref="A7:G7"/>
  </mergeCells>
  <dataValidations count="1">
    <dataValidation allowBlank="1" promptTitle="Расчетное значение" prompt="Считается автоматически" sqref="C213:D213 D99:E99 E73 D42:E43 D50:E50 D45:E45 D44 D41 D47:E48 E98 D129:E131 D116:D118 D119:E119 E114 D123 D128 D112:D114 D108:E110 D97:D98 D95:E96 D127:E127 D104:E104 E133:E200 D120:D121 D122:E122 D106:E106 D100:D103 D124:E125 E91 E78 D79:E80 D84:D87 D72:E72 D60:E62 D58:D59 D57:E57 D54:E55 D52:D53 E52 D64:E67 E59 E84 D71 D68 D88:E89 D73:D78 D69:E70 E86 D82:E82 D39:E40 D90:D91 D92:E92 D132:D200 D10:E10 C11:C200 E20 D25:E26 D31:E31 D28:E29 E36 D27 D30 D32:D33 D11:D14 E11:E13 D18:D24 E23 D35:D38 D34:E34 E33"/>
  </dataValidations>
  <printOptions horizontalCentered="1"/>
  <pageMargins left="0.4330708661417323" right="0.1968503937007874" top="0.8661417322834646" bottom="0.8267716535433072" header="0.7480314960629921" footer="0.62"/>
  <pageSetup horizontalDpi="600" verticalDpi="600" orientation="landscape" paperSize="9" scale="9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5"/>
  <sheetViews>
    <sheetView showGridLines="0" showZeros="0" zoomScale="75" zoomScaleNormal="75" zoomScaleSheetLayoutView="75" zoomScalePageLayoutView="0" workbookViewId="0" topLeftCell="A1">
      <selection activeCell="A7" sqref="A7:J7"/>
    </sheetView>
  </sheetViews>
  <sheetFormatPr defaultColWidth="9.75390625" defaultRowHeight="12.75"/>
  <cols>
    <col min="1" max="1" width="59.75390625" style="2" customWidth="1"/>
    <col min="2" max="3" width="6.75390625" style="3" customWidth="1"/>
    <col min="4" max="4" width="13.25390625" style="3" customWidth="1"/>
    <col min="5" max="5" width="6.75390625" style="3" customWidth="1"/>
    <col min="6" max="6" width="16.75390625" style="4" customWidth="1"/>
    <col min="7" max="10" width="16.75390625" style="6" customWidth="1"/>
    <col min="11" max="11" width="9.75390625" style="6" hidden="1" customWidth="1"/>
    <col min="12" max="16384" width="9.75390625" style="6" customWidth="1"/>
  </cols>
  <sheetData>
    <row r="1" spans="8:10" ht="15">
      <c r="H1" s="5" t="s">
        <v>1871</v>
      </c>
      <c r="I1" s="27"/>
      <c r="J1" s="25"/>
    </row>
    <row r="2" spans="8:10" ht="15">
      <c r="H2" s="22" t="s">
        <v>1059</v>
      </c>
      <c r="I2" s="26"/>
      <c r="J2" s="25"/>
    </row>
    <row r="3" spans="1:10" ht="15">
      <c r="A3" s="6"/>
      <c r="H3" s="22" t="s">
        <v>1611</v>
      </c>
      <c r="I3" s="27"/>
      <c r="J3" s="25"/>
    </row>
    <row r="4" ht="13.5" customHeight="1"/>
    <row r="5" spans="1:10" ht="15.75" customHeight="1">
      <c r="A5" s="505" t="s">
        <v>1831</v>
      </c>
      <c r="B5" s="505"/>
      <c r="C5" s="505"/>
      <c r="D5" s="505"/>
      <c r="E5" s="505"/>
      <c r="F5" s="505"/>
      <c r="G5" s="505"/>
      <c r="H5" s="505"/>
      <c r="I5" s="505"/>
      <c r="J5" s="505"/>
    </row>
    <row r="6" spans="1:10" ht="15.75">
      <c r="A6" s="506" t="s">
        <v>537</v>
      </c>
      <c r="B6" s="506"/>
      <c r="C6" s="506"/>
      <c r="D6" s="506"/>
      <c r="E6" s="506"/>
      <c r="F6" s="506"/>
      <c r="G6" s="506"/>
      <c r="H6" s="506"/>
      <c r="I6" s="506"/>
      <c r="J6" s="506"/>
    </row>
    <row r="7" spans="1:10" ht="15.75">
      <c r="A7" s="506"/>
      <c r="B7" s="506"/>
      <c r="C7" s="506"/>
      <c r="D7" s="506"/>
      <c r="E7" s="506"/>
      <c r="F7" s="506"/>
      <c r="G7" s="506"/>
      <c r="H7" s="506"/>
      <c r="I7" s="506"/>
      <c r="J7" s="506"/>
    </row>
    <row r="8" spans="1:6" ht="16.5" thickBot="1">
      <c r="A8" s="6"/>
      <c r="B8" s="8"/>
      <c r="C8" s="8"/>
      <c r="D8" s="8"/>
      <c r="E8" s="8"/>
      <c r="F8" s="8"/>
    </row>
    <row r="9" spans="1:10" s="130" customFormat="1" ht="12">
      <c r="A9" s="508" t="s">
        <v>514</v>
      </c>
      <c r="B9" s="518" t="s">
        <v>1072</v>
      </c>
      <c r="C9" s="518"/>
      <c r="D9" s="518"/>
      <c r="E9" s="518"/>
      <c r="F9" s="515" t="s">
        <v>515</v>
      </c>
      <c r="G9" s="515" t="s">
        <v>1236</v>
      </c>
      <c r="H9" s="515" t="s">
        <v>438</v>
      </c>
      <c r="I9" s="507" t="s">
        <v>1073</v>
      </c>
      <c r="J9" s="507"/>
    </row>
    <row r="10" spans="1:10" s="132" customFormat="1" ht="42.75" customHeight="1">
      <c r="A10" s="509"/>
      <c r="B10" s="503"/>
      <c r="C10" s="503"/>
      <c r="D10" s="503"/>
      <c r="E10" s="503"/>
      <c r="F10" s="516"/>
      <c r="G10" s="516"/>
      <c r="H10" s="516"/>
      <c r="I10" s="131" t="s">
        <v>1873</v>
      </c>
      <c r="J10" s="131" t="s">
        <v>1875</v>
      </c>
    </row>
    <row r="11" spans="1:10" s="132" customFormat="1" ht="13.5" customHeight="1">
      <c r="A11" s="509"/>
      <c r="B11" s="503" t="s">
        <v>1237</v>
      </c>
      <c r="C11" s="503" t="s">
        <v>1238</v>
      </c>
      <c r="D11" s="503" t="s">
        <v>1239</v>
      </c>
      <c r="E11" s="503" t="s">
        <v>1240</v>
      </c>
      <c r="F11" s="516"/>
      <c r="G11" s="516"/>
      <c r="H11" s="516"/>
      <c r="I11" s="513" t="s">
        <v>1874</v>
      </c>
      <c r="J11" s="513" t="s">
        <v>1874</v>
      </c>
    </row>
    <row r="12" spans="1:10" s="132" customFormat="1" ht="35.25" customHeight="1" thickBot="1">
      <c r="A12" s="510"/>
      <c r="B12" s="511"/>
      <c r="C12" s="511"/>
      <c r="D12" s="511"/>
      <c r="E12" s="511"/>
      <c r="F12" s="517"/>
      <c r="G12" s="517"/>
      <c r="H12" s="517"/>
      <c r="I12" s="514"/>
      <c r="J12" s="514"/>
    </row>
    <row r="13" spans="1:10" s="133" customFormat="1" ht="15.75">
      <c r="A13" s="343" t="s">
        <v>139</v>
      </c>
      <c r="B13" s="344"/>
      <c r="C13" s="344"/>
      <c r="D13" s="344"/>
      <c r="E13" s="344"/>
      <c r="F13" s="345">
        <f>F14+F140+F146+F189+F273+F380+F391+F712+F797+F959+F1116+F1164+F1175+F1180</f>
        <v>3766275.2</v>
      </c>
      <c r="G13" s="345">
        <f>G14+G140+G146+G189+G273+G380+G391+G712+G797+G959+G1116+G1164+G1175+G1180</f>
        <v>4501947.422</v>
      </c>
      <c r="H13" s="345">
        <f>H14+H140+H146+H189+H273+H380+H391+H712+H797+H959+H1116+H1164+H1175+H1180</f>
        <v>4225847.1</v>
      </c>
      <c r="I13" s="420">
        <f>H13/F13*100</f>
        <v>112.20229206830132</v>
      </c>
      <c r="J13" s="420">
        <f>H13/G13*100</f>
        <v>93.8670913691537</v>
      </c>
    </row>
    <row r="14" spans="1:10" s="134" customFormat="1" ht="15.75">
      <c r="A14" s="346" t="s">
        <v>140</v>
      </c>
      <c r="B14" s="116" t="s">
        <v>141</v>
      </c>
      <c r="C14" s="116"/>
      <c r="D14" s="85"/>
      <c r="E14" s="85"/>
      <c r="F14" s="245">
        <f>F15+F21+F32+F56+F60+F69+F77+F81+F86+F91+F74</f>
        <v>535625.2</v>
      </c>
      <c r="G14" s="245">
        <f>G15+G21+G32+G56+G60+G69+G77+G81+G86+G91+G74</f>
        <v>785794</v>
      </c>
      <c r="H14" s="245">
        <f>H15+H21+H32+H56+H60+H69+H77+H81+H86+H91+H74</f>
        <v>746923.0999999999</v>
      </c>
      <c r="I14" s="420">
        <f>H14/F14*100</f>
        <v>139.44883474489248</v>
      </c>
      <c r="J14" s="420">
        <f aca="true" t="shared" si="0" ref="J14:J77">H14/G14*100</f>
        <v>95.05329641101865</v>
      </c>
    </row>
    <row r="15" spans="1:10" s="134" customFormat="1" ht="34.5" customHeight="1">
      <c r="A15" s="347" t="s">
        <v>1521</v>
      </c>
      <c r="B15" s="85" t="s">
        <v>141</v>
      </c>
      <c r="C15" s="83" t="s">
        <v>142</v>
      </c>
      <c r="D15" s="85"/>
      <c r="E15" s="85"/>
      <c r="F15" s="252">
        <f aca="true" t="shared" si="1" ref="F15:H16">F16</f>
        <v>2883.8</v>
      </c>
      <c r="G15" s="252">
        <f t="shared" si="1"/>
        <v>2619.7</v>
      </c>
      <c r="H15" s="252">
        <f t="shared" si="1"/>
        <v>2280.6000000000004</v>
      </c>
      <c r="I15" s="379">
        <f>H15/F15*100</f>
        <v>79.08315417157917</v>
      </c>
      <c r="J15" s="379">
        <f t="shared" si="0"/>
        <v>87.05576974462727</v>
      </c>
    </row>
    <row r="16" spans="1:10" s="134" customFormat="1" ht="24">
      <c r="A16" s="93" t="s">
        <v>143</v>
      </c>
      <c r="B16" s="83" t="s">
        <v>141</v>
      </c>
      <c r="C16" s="83" t="s">
        <v>142</v>
      </c>
      <c r="D16" s="85" t="s">
        <v>144</v>
      </c>
      <c r="E16" s="83"/>
      <c r="F16" s="252">
        <f t="shared" si="1"/>
        <v>2883.8</v>
      </c>
      <c r="G16" s="252">
        <f t="shared" si="1"/>
        <v>2619.7</v>
      </c>
      <c r="H16" s="252">
        <f t="shared" si="1"/>
        <v>2280.6000000000004</v>
      </c>
      <c r="I16" s="379">
        <f>H16/F16*100</f>
        <v>79.08315417157917</v>
      </c>
      <c r="J16" s="379">
        <f t="shared" si="0"/>
        <v>87.05576974462727</v>
      </c>
    </row>
    <row r="17" spans="1:10" s="134" customFormat="1" ht="15">
      <c r="A17" s="348" t="s">
        <v>145</v>
      </c>
      <c r="B17" s="83" t="s">
        <v>141</v>
      </c>
      <c r="C17" s="83" t="s">
        <v>142</v>
      </c>
      <c r="D17" s="85" t="s">
        <v>146</v>
      </c>
      <c r="E17" s="83" t="s">
        <v>1071</v>
      </c>
      <c r="F17" s="252">
        <f>F18+F19+F20</f>
        <v>2883.8</v>
      </c>
      <c r="G17" s="252">
        <f>G18+G19+G20</f>
        <v>2619.7</v>
      </c>
      <c r="H17" s="252">
        <f>H18+H19+H20</f>
        <v>2280.6000000000004</v>
      </c>
      <c r="I17" s="379">
        <f>H17/F17*100</f>
        <v>79.08315417157917</v>
      </c>
      <c r="J17" s="379">
        <f t="shared" si="0"/>
        <v>87.05576974462727</v>
      </c>
    </row>
    <row r="18" spans="1:10" s="134" customFormat="1" ht="20.25" customHeight="1">
      <c r="A18" s="348" t="s">
        <v>1832</v>
      </c>
      <c r="B18" s="83" t="s">
        <v>141</v>
      </c>
      <c r="C18" s="83" t="s">
        <v>142</v>
      </c>
      <c r="D18" s="85" t="s">
        <v>146</v>
      </c>
      <c r="E18" s="83" t="s">
        <v>1833</v>
      </c>
      <c r="F18" s="84"/>
      <c r="G18" s="84">
        <f>2762-61.3-202.8</f>
        <v>2497.8999999999996</v>
      </c>
      <c r="H18" s="84">
        <v>2158.8</v>
      </c>
      <c r="I18" s="379"/>
      <c r="J18" s="379">
        <f t="shared" si="0"/>
        <v>86.42459666119542</v>
      </c>
    </row>
    <row r="19" spans="1:10" s="134" customFormat="1" ht="15">
      <c r="A19" s="348" t="s">
        <v>1834</v>
      </c>
      <c r="B19" s="83" t="s">
        <v>141</v>
      </c>
      <c r="C19" s="83" t="s">
        <v>142</v>
      </c>
      <c r="D19" s="85" t="s">
        <v>146</v>
      </c>
      <c r="E19" s="83" t="s">
        <v>1835</v>
      </c>
      <c r="F19" s="84"/>
      <c r="G19" s="84">
        <v>121.8</v>
      </c>
      <c r="H19" s="90">
        <v>121.8</v>
      </c>
      <c r="I19" s="379"/>
      <c r="J19" s="379">
        <f t="shared" si="0"/>
        <v>100</v>
      </c>
    </row>
    <row r="20" spans="1:10" s="134" customFormat="1" ht="15">
      <c r="A20" s="87" t="s">
        <v>1597</v>
      </c>
      <c r="B20" s="85" t="s">
        <v>141</v>
      </c>
      <c r="C20" s="85" t="s">
        <v>142</v>
      </c>
      <c r="D20" s="85" t="s">
        <v>146</v>
      </c>
      <c r="E20" s="85" t="s">
        <v>436</v>
      </c>
      <c r="F20" s="84">
        <v>2883.8</v>
      </c>
      <c r="G20" s="84"/>
      <c r="H20" s="243"/>
      <c r="I20" s="379">
        <f>H20/F20*100</f>
        <v>0</v>
      </c>
      <c r="J20" s="379"/>
    </row>
    <row r="21" spans="1:10" s="134" customFormat="1" ht="36">
      <c r="A21" s="91" t="s">
        <v>1523</v>
      </c>
      <c r="B21" s="85" t="s">
        <v>141</v>
      </c>
      <c r="C21" s="85" t="s">
        <v>1598</v>
      </c>
      <c r="D21" s="85"/>
      <c r="E21" s="85"/>
      <c r="F21" s="243">
        <f>F22</f>
        <v>11993.1</v>
      </c>
      <c r="G21" s="243">
        <f>G22</f>
        <v>16934.5</v>
      </c>
      <c r="H21" s="243">
        <f>H22</f>
        <v>14495.5</v>
      </c>
      <c r="I21" s="379">
        <f>H21/F21*100</f>
        <v>120.86533089860004</v>
      </c>
      <c r="J21" s="379">
        <f t="shared" si="0"/>
        <v>85.59744899465588</v>
      </c>
    </row>
    <row r="22" spans="1:10" s="130" customFormat="1" ht="24">
      <c r="A22" s="93" t="s">
        <v>143</v>
      </c>
      <c r="B22" s="85" t="s">
        <v>141</v>
      </c>
      <c r="C22" s="85" t="s">
        <v>1598</v>
      </c>
      <c r="D22" s="85" t="s">
        <v>144</v>
      </c>
      <c r="E22" s="85"/>
      <c r="F22" s="243">
        <f>F23+F29</f>
        <v>11993.1</v>
      </c>
      <c r="G22" s="243">
        <f>G23+G29</f>
        <v>16934.5</v>
      </c>
      <c r="H22" s="243">
        <f>H23+H29</f>
        <v>14495.5</v>
      </c>
      <c r="I22" s="379">
        <f>H22/F22*100</f>
        <v>120.86533089860004</v>
      </c>
      <c r="J22" s="379">
        <f t="shared" si="0"/>
        <v>85.59744899465588</v>
      </c>
    </row>
    <row r="23" spans="1:10" s="130" customFormat="1" ht="15">
      <c r="A23" s="87" t="s">
        <v>1599</v>
      </c>
      <c r="B23" s="85" t="s">
        <v>1600</v>
      </c>
      <c r="C23" s="85" t="s">
        <v>1598</v>
      </c>
      <c r="D23" s="85" t="s">
        <v>1884</v>
      </c>
      <c r="E23" s="85" t="s">
        <v>1071</v>
      </c>
      <c r="F23" s="252">
        <f>F24+F25+F26+F27+F28</f>
        <v>11971.1</v>
      </c>
      <c r="G23" s="252">
        <f>G24+G25+G26+G27+G28</f>
        <v>16912.5</v>
      </c>
      <c r="H23" s="252">
        <f>H24+H25+H26+H27+H28</f>
        <v>14489</v>
      </c>
      <c r="I23" s="379">
        <f>H23/F23*100</f>
        <v>121.0331548479254</v>
      </c>
      <c r="J23" s="379">
        <f t="shared" si="0"/>
        <v>85.67036215816704</v>
      </c>
    </row>
    <row r="24" spans="1:10" s="130" customFormat="1" ht="15">
      <c r="A24" s="348" t="s">
        <v>1832</v>
      </c>
      <c r="B24" s="85" t="s">
        <v>141</v>
      </c>
      <c r="C24" s="85" t="s">
        <v>1598</v>
      </c>
      <c r="D24" s="85" t="s">
        <v>1884</v>
      </c>
      <c r="E24" s="85" t="s">
        <v>1833</v>
      </c>
      <c r="F24" s="90"/>
      <c r="G24" s="90">
        <v>15671.2</v>
      </c>
      <c r="H24" s="84">
        <v>13293</v>
      </c>
      <c r="I24" s="379"/>
      <c r="J24" s="379">
        <f t="shared" si="0"/>
        <v>84.82439123998162</v>
      </c>
    </row>
    <row r="25" spans="1:10" s="130" customFormat="1" ht="26.25" customHeight="1">
      <c r="A25" s="348" t="s">
        <v>1834</v>
      </c>
      <c r="B25" s="85" t="s">
        <v>141</v>
      </c>
      <c r="C25" s="85" t="s">
        <v>1598</v>
      </c>
      <c r="D25" s="85" t="s">
        <v>1884</v>
      </c>
      <c r="E25" s="85" t="s">
        <v>1835</v>
      </c>
      <c r="F25" s="90"/>
      <c r="G25" s="90">
        <v>1</v>
      </c>
      <c r="H25" s="90">
        <v>0.5</v>
      </c>
      <c r="I25" s="379"/>
      <c r="J25" s="379">
        <f t="shared" si="0"/>
        <v>50</v>
      </c>
    </row>
    <row r="26" spans="1:10" s="130" customFormat="1" ht="15.75" customHeight="1">
      <c r="A26" s="348" t="s">
        <v>1836</v>
      </c>
      <c r="B26" s="85" t="s">
        <v>141</v>
      </c>
      <c r="C26" s="85" t="s">
        <v>1598</v>
      </c>
      <c r="D26" s="85" t="s">
        <v>1884</v>
      </c>
      <c r="E26" s="85" t="s">
        <v>1837</v>
      </c>
      <c r="F26" s="90"/>
      <c r="G26" s="90">
        <f>1185.3</f>
        <v>1185.3</v>
      </c>
      <c r="H26" s="90">
        <v>1141.2</v>
      </c>
      <c r="I26" s="379"/>
      <c r="J26" s="379">
        <f t="shared" si="0"/>
        <v>96.27942293090358</v>
      </c>
    </row>
    <row r="27" spans="1:10" s="130" customFormat="1" ht="26.25" customHeight="1">
      <c r="A27" s="87" t="s">
        <v>1597</v>
      </c>
      <c r="B27" s="85" t="s">
        <v>141</v>
      </c>
      <c r="C27" s="85" t="s">
        <v>1598</v>
      </c>
      <c r="D27" s="85" t="s">
        <v>1884</v>
      </c>
      <c r="E27" s="85" t="s">
        <v>436</v>
      </c>
      <c r="F27" s="90">
        <v>11971.1</v>
      </c>
      <c r="G27" s="90">
        <v>0</v>
      </c>
      <c r="H27" s="90"/>
      <c r="I27" s="379">
        <f>H27/F27*100</f>
        <v>0</v>
      </c>
      <c r="J27" s="379"/>
    </row>
    <row r="28" spans="1:10" s="130" customFormat="1" ht="18" customHeight="1">
      <c r="A28" s="87" t="s">
        <v>1838</v>
      </c>
      <c r="B28" s="85" t="s">
        <v>141</v>
      </c>
      <c r="C28" s="85" t="s">
        <v>1598</v>
      </c>
      <c r="D28" s="85" t="s">
        <v>1884</v>
      </c>
      <c r="E28" s="85" t="s">
        <v>1839</v>
      </c>
      <c r="F28" s="90"/>
      <c r="G28" s="90">
        <v>55</v>
      </c>
      <c r="H28" s="90">
        <v>54.3</v>
      </c>
      <c r="I28" s="379"/>
      <c r="J28" s="379">
        <f t="shared" si="0"/>
        <v>98.72727272727272</v>
      </c>
    </row>
    <row r="29" spans="1:10" s="130" customFormat="1" ht="15">
      <c r="A29" s="349" t="s">
        <v>1840</v>
      </c>
      <c r="B29" s="85" t="s">
        <v>141</v>
      </c>
      <c r="C29" s="85" t="s">
        <v>1598</v>
      </c>
      <c r="D29" s="85" t="s">
        <v>1841</v>
      </c>
      <c r="E29" s="85" t="s">
        <v>1071</v>
      </c>
      <c r="F29" s="243">
        <f>F30+F31</f>
        <v>22</v>
      </c>
      <c r="G29" s="243">
        <f>G30+G31</f>
        <v>22</v>
      </c>
      <c r="H29" s="243">
        <f>H30+H31</f>
        <v>6.5</v>
      </c>
      <c r="I29" s="379">
        <f>H29/F29*100</f>
        <v>29.545454545454547</v>
      </c>
      <c r="J29" s="379">
        <f t="shared" si="0"/>
        <v>29.545454545454547</v>
      </c>
    </row>
    <row r="30" spans="1:10" s="130" customFormat="1" ht="15">
      <c r="A30" s="349"/>
      <c r="B30" s="85" t="s">
        <v>141</v>
      </c>
      <c r="C30" s="85" t="s">
        <v>1598</v>
      </c>
      <c r="D30" s="85" t="s">
        <v>1841</v>
      </c>
      <c r="E30" s="85" t="s">
        <v>436</v>
      </c>
      <c r="F30" s="90">
        <v>22</v>
      </c>
      <c r="G30" s="243"/>
      <c r="H30" s="243"/>
      <c r="I30" s="379">
        <f>H30/F30*100</f>
        <v>0</v>
      </c>
      <c r="J30" s="379"/>
    </row>
    <row r="31" spans="1:10" s="130" customFormat="1" ht="15">
      <c r="A31" s="349" t="s">
        <v>1840</v>
      </c>
      <c r="B31" s="85" t="s">
        <v>141</v>
      </c>
      <c r="C31" s="85" t="s">
        <v>1598</v>
      </c>
      <c r="D31" s="85" t="s">
        <v>1841</v>
      </c>
      <c r="E31" s="85" t="s">
        <v>1842</v>
      </c>
      <c r="F31" s="90"/>
      <c r="G31" s="90">
        <v>22</v>
      </c>
      <c r="H31" s="90">
        <v>6.5</v>
      </c>
      <c r="I31" s="379"/>
      <c r="J31" s="379">
        <f t="shared" si="0"/>
        <v>29.545454545454547</v>
      </c>
    </row>
    <row r="32" spans="1:10" s="130" customFormat="1" ht="36">
      <c r="A32" s="91" t="s">
        <v>1602</v>
      </c>
      <c r="B32" s="85" t="s">
        <v>141</v>
      </c>
      <c r="C32" s="85" t="s">
        <v>1603</v>
      </c>
      <c r="D32" s="85"/>
      <c r="E32" s="85"/>
      <c r="F32" s="243">
        <f>F33+F53</f>
        <v>267288.2</v>
      </c>
      <c r="G32" s="243">
        <f>G33+G53</f>
        <v>264855.30000000005</v>
      </c>
      <c r="H32" s="243">
        <f>H33+H53</f>
        <v>243466.59999999995</v>
      </c>
      <c r="I32" s="379">
        <f>H32/F32*100</f>
        <v>91.08767240753612</v>
      </c>
      <c r="J32" s="379">
        <f t="shared" si="0"/>
        <v>91.92438286113206</v>
      </c>
    </row>
    <row r="33" spans="1:10" s="130" customFormat="1" ht="15">
      <c r="A33" s="93" t="s">
        <v>1604</v>
      </c>
      <c r="B33" s="85" t="s">
        <v>141</v>
      </c>
      <c r="C33" s="85" t="s">
        <v>1603</v>
      </c>
      <c r="D33" s="85" t="s">
        <v>144</v>
      </c>
      <c r="E33" s="85"/>
      <c r="F33" s="243">
        <f>F34+F50</f>
        <v>267288.2</v>
      </c>
      <c r="G33" s="243">
        <f>G34+G50</f>
        <v>264855.30000000005</v>
      </c>
      <c r="H33" s="243">
        <f>H34+H50</f>
        <v>243466.59999999995</v>
      </c>
      <c r="I33" s="379">
        <f>H33/F33*100</f>
        <v>91.08767240753612</v>
      </c>
      <c r="J33" s="379">
        <f t="shared" si="0"/>
        <v>91.92438286113206</v>
      </c>
    </row>
    <row r="34" spans="1:10" s="130" customFormat="1" ht="15">
      <c r="A34" s="87" t="s">
        <v>1599</v>
      </c>
      <c r="B34" s="85" t="s">
        <v>141</v>
      </c>
      <c r="C34" s="85" t="s">
        <v>1603</v>
      </c>
      <c r="D34" s="85" t="s">
        <v>1884</v>
      </c>
      <c r="E34" s="85" t="s">
        <v>1071</v>
      </c>
      <c r="F34" s="243">
        <f>F35+F36+F37+F38+F39+F40+F41+F44+F47</f>
        <v>264640.2</v>
      </c>
      <c r="G34" s="243">
        <f>G35+G36+G37+G38+G39+G40+G41+G44+G47</f>
        <v>259872.60000000003</v>
      </c>
      <c r="H34" s="243">
        <f>H35+H36+H37+H38+H39+H40+H41+H44+H47</f>
        <v>238569.79999999996</v>
      </c>
      <c r="I34" s="379">
        <f>H34/F34*100</f>
        <v>90.14873779569392</v>
      </c>
      <c r="J34" s="379">
        <f t="shared" si="0"/>
        <v>91.80259865795776</v>
      </c>
    </row>
    <row r="35" spans="1:10" s="130" customFormat="1" ht="15">
      <c r="A35" s="348" t="s">
        <v>1832</v>
      </c>
      <c r="B35" s="85" t="s">
        <v>141</v>
      </c>
      <c r="C35" s="85" t="s">
        <v>1603</v>
      </c>
      <c r="D35" s="85" t="s">
        <v>1884</v>
      </c>
      <c r="E35" s="85" t="s">
        <v>1833</v>
      </c>
      <c r="F35" s="90"/>
      <c r="G35" s="90">
        <v>209191.2</v>
      </c>
      <c r="H35" s="248">
        <v>192267.6</v>
      </c>
      <c r="I35" s="379"/>
      <c r="J35" s="379">
        <f t="shared" si="0"/>
        <v>91.90998474123194</v>
      </c>
    </row>
    <row r="36" spans="1:10" s="135" customFormat="1" ht="27" customHeight="1">
      <c r="A36" s="87" t="s">
        <v>1843</v>
      </c>
      <c r="B36" s="85" t="s">
        <v>141</v>
      </c>
      <c r="C36" s="85" t="s">
        <v>1603</v>
      </c>
      <c r="D36" s="85" t="s">
        <v>1884</v>
      </c>
      <c r="E36" s="85" t="s">
        <v>1835</v>
      </c>
      <c r="F36" s="90"/>
      <c r="G36" s="90">
        <v>50</v>
      </c>
      <c r="H36" s="90">
        <v>12.3</v>
      </c>
      <c r="I36" s="379"/>
      <c r="J36" s="379">
        <f t="shared" si="0"/>
        <v>24.6</v>
      </c>
    </row>
    <row r="37" spans="1:10" s="135" customFormat="1" ht="15">
      <c r="A37" s="348" t="s">
        <v>1836</v>
      </c>
      <c r="B37" s="85" t="s">
        <v>141</v>
      </c>
      <c r="C37" s="85" t="s">
        <v>1603</v>
      </c>
      <c r="D37" s="85" t="s">
        <v>1884</v>
      </c>
      <c r="E37" s="85" t="s">
        <v>1837</v>
      </c>
      <c r="F37" s="90"/>
      <c r="G37" s="90">
        <f>33596.3+390+412.9+552+200</f>
        <v>35151.200000000004</v>
      </c>
      <c r="H37" s="90">
        <v>31693.8</v>
      </c>
      <c r="I37" s="379"/>
      <c r="J37" s="379">
        <f t="shared" si="0"/>
        <v>90.16420492045789</v>
      </c>
    </row>
    <row r="38" spans="1:10" s="135" customFormat="1" ht="15">
      <c r="A38" s="87" t="s">
        <v>1597</v>
      </c>
      <c r="B38" s="85" t="s">
        <v>141</v>
      </c>
      <c r="C38" s="85" t="s">
        <v>1603</v>
      </c>
      <c r="D38" s="85" t="s">
        <v>1884</v>
      </c>
      <c r="E38" s="85" t="s">
        <v>436</v>
      </c>
      <c r="F38" s="90">
        <v>264640.2</v>
      </c>
      <c r="G38" s="90"/>
      <c r="H38" s="243"/>
      <c r="I38" s="379">
        <f>H38/F38*100</f>
        <v>0</v>
      </c>
      <c r="J38" s="379"/>
    </row>
    <row r="39" spans="1:10" s="135" customFormat="1" ht="48">
      <c r="A39" s="348" t="s">
        <v>1844</v>
      </c>
      <c r="B39" s="85" t="s">
        <v>141</v>
      </c>
      <c r="C39" s="85" t="s">
        <v>1603</v>
      </c>
      <c r="D39" s="85" t="s">
        <v>1884</v>
      </c>
      <c r="E39" s="85" t="s">
        <v>1845</v>
      </c>
      <c r="F39" s="90"/>
      <c r="G39" s="90">
        <f>230.6+120</f>
        <v>350.6</v>
      </c>
      <c r="H39" s="90">
        <v>350.5</v>
      </c>
      <c r="I39" s="379"/>
      <c r="J39" s="379">
        <f t="shared" si="0"/>
        <v>99.97147746719908</v>
      </c>
    </row>
    <row r="40" spans="1:10" s="130" customFormat="1" ht="15">
      <c r="A40" s="87" t="s">
        <v>1838</v>
      </c>
      <c r="B40" s="85" t="s">
        <v>141</v>
      </c>
      <c r="C40" s="85" t="s">
        <v>1603</v>
      </c>
      <c r="D40" s="85" t="s">
        <v>1884</v>
      </c>
      <c r="E40" s="85" t="s">
        <v>1839</v>
      </c>
      <c r="F40" s="90"/>
      <c r="G40" s="90">
        <f>128.6-120</f>
        <v>8.599999999999994</v>
      </c>
      <c r="H40" s="90">
        <v>0.8</v>
      </c>
      <c r="I40" s="379"/>
      <c r="J40" s="379">
        <f t="shared" si="0"/>
        <v>9.302325581395356</v>
      </c>
    </row>
    <row r="41" spans="1:10" s="130" customFormat="1" ht="48">
      <c r="A41" s="87" t="s">
        <v>85</v>
      </c>
      <c r="B41" s="85" t="s">
        <v>141</v>
      </c>
      <c r="C41" s="85" t="s">
        <v>1603</v>
      </c>
      <c r="D41" s="85" t="s">
        <v>86</v>
      </c>
      <c r="E41" s="85" t="s">
        <v>1071</v>
      </c>
      <c r="F41" s="243">
        <f>F42+F43</f>
        <v>0</v>
      </c>
      <c r="G41" s="243">
        <f>G42+G43</f>
        <v>7564</v>
      </c>
      <c r="H41" s="243">
        <f>H42+H43</f>
        <v>6923.900000000001</v>
      </c>
      <c r="I41" s="379"/>
      <c r="J41" s="379">
        <f t="shared" si="0"/>
        <v>91.53754627181387</v>
      </c>
    </row>
    <row r="42" spans="1:10" s="130" customFormat="1" ht="15">
      <c r="A42" s="87" t="s">
        <v>87</v>
      </c>
      <c r="B42" s="85" t="s">
        <v>141</v>
      </c>
      <c r="C42" s="85" t="s">
        <v>1603</v>
      </c>
      <c r="D42" s="85" t="s">
        <v>86</v>
      </c>
      <c r="E42" s="85" t="s">
        <v>88</v>
      </c>
      <c r="F42" s="90"/>
      <c r="G42" s="90">
        <v>5583.5</v>
      </c>
      <c r="H42" s="243">
        <v>5287.6</v>
      </c>
      <c r="I42" s="379"/>
      <c r="J42" s="379">
        <f t="shared" si="0"/>
        <v>94.70045670278499</v>
      </c>
    </row>
    <row r="43" spans="1:10" s="130" customFormat="1" ht="15">
      <c r="A43" s="348" t="s">
        <v>89</v>
      </c>
      <c r="B43" s="85" t="s">
        <v>141</v>
      </c>
      <c r="C43" s="85" t="s">
        <v>1603</v>
      </c>
      <c r="D43" s="85" t="s">
        <v>86</v>
      </c>
      <c r="E43" s="85" t="s">
        <v>90</v>
      </c>
      <c r="F43" s="90"/>
      <c r="G43" s="90">
        <v>1980.5</v>
      </c>
      <c r="H43" s="90">
        <v>1636.3</v>
      </c>
      <c r="I43" s="379"/>
      <c r="J43" s="379">
        <f t="shared" si="0"/>
        <v>82.62055036606917</v>
      </c>
    </row>
    <row r="44" spans="1:10" s="130" customFormat="1" ht="36">
      <c r="A44" s="348" t="s">
        <v>91</v>
      </c>
      <c r="B44" s="85" t="s">
        <v>141</v>
      </c>
      <c r="C44" s="85" t="s">
        <v>1603</v>
      </c>
      <c r="D44" s="85" t="s">
        <v>92</v>
      </c>
      <c r="E44" s="85" t="s">
        <v>1071</v>
      </c>
      <c r="F44" s="243">
        <f>F45+F46</f>
        <v>0</v>
      </c>
      <c r="G44" s="243">
        <f>G45+G46</f>
        <v>3757</v>
      </c>
      <c r="H44" s="243">
        <f>H45+H46</f>
        <v>3586.4</v>
      </c>
      <c r="I44" s="379"/>
      <c r="J44" s="379">
        <f t="shared" si="0"/>
        <v>95.45914293319137</v>
      </c>
    </row>
    <row r="45" spans="1:10" s="130" customFormat="1" ht="15">
      <c r="A45" s="87" t="s">
        <v>87</v>
      </c>
      <c r="B45" s="85" t="s">
        <v>141</v>
      </c>
      <c r="C45" s="85" t="s">
        <v>1603</v>
      </c>
      <c r="D45" s="85" t="s">
        <v>92</v>
      </c>
      <c r="E45" s="85" t="s">
        <v>88</v>
      </c>
      <c r="F45" s="90"/>
      <c r="G45" s="90">
        <v>3383</v>
      </c>
      <c r="H45" s="243">
        <v>3212.4</v>
      </c>
      <c r="I45" s="379"/>
      <c r="J45" s="379">
        <f t="shared" si="0"/>
        <v>94.95713863434821</v>
      </c>
    </row>
    <row r="46" spans="1:10" s="130" customFormat="1" ht="15">
      <c r="A46" s="348" t="s">
        <v>89</v>
      </c>
      <c r="B46" s="85" t="s">
        <v>141</v>
      </c>
      <c r="C46" s="85" t="s">
        <v>1603</v>
      </c>
      <c r="D46" s="85" t="s">
        <v>92</v>
      </c>
      <c r="E46" s="85" t="s">
        <v>90</v>
      </c>
      <c r="F46" s="90"/>
      <c r="G46" s="90">
        <v>374</v>
      </c>
      <c r="H46" s="90">
        <v>374</v>
      </c>
      <c r="I46" s="379"/>
      <c r="J46" s="379">
        <f t="shared" si="0"/>
        <v>100</v>
      </c>
    </row>
    <row r="47" spans="1:10" s="130" customFormat="1" ht="48">
      <c r="A47" s="348" t="s">
        <v>93</v>
      </c>
      <c r="B47" s="85" t="s">
        <v>141</v>
      </c>
      <c r="C47" s="85" t="s">
        <v>1603</v>
      </c>
      <c r="D47" s="85" t="s">
        <v>94</v>
      </c>
      <c r="E47" s="85" t="s">
        <v>1071</v>
      </c>
      <c r="F47" s="243">
        <f>F48+F49</f>
        <v>0</v>
      </c>
      <c r="G47" s="243">
        <f>G48+G49</f>
        <v>3800</v>
      </c>
      <c r="H47" s="243">
        <f>H48+H49</f>
        <v>3734.5</v>
      </c>
      <c r="I47" s="379"/>
      <c r="J47" s="379">
        <f t="shared" si="0"/>
        <v>98.27631578947368</v>
      </c>
    </row>
    <row r="48" spans="1:10" s="130" customFormat="1" ht="15">
      <c r="A48" s="87" t="s">
        <v>87</v>
      </c>
      <c r="B48" s="85" t="s">
        <v>141</v>
      </c>
      <c r="C48" s="85" t="s">
        <v>1603</v>
      </c>
      <c r="D48" s="85" t="s">
        <v>94</v>
      </c>
      <c r="E48" s="85" t="s">
        <v>88</v>
      </c>
      <c r="F48" s="90"/>
      <c r="G48" s="90">
        <v>3075.3</v>
      </c>
      <c r="H48" s="90">
        <v>3009.8</v>
      </c>
      <c r="I48" s="379"/>
      <c r="J48" s="379">
        <f t="shared" si="0"/>
        <v>97.87012649172439</v>
      </c>
    </row>
    <row r="49" spans="1:10" s="130" customFormat="1" ht="15">
      <c r="A49" s="348" t="s">
        <v>89</v>
      </c>
      <c r="B49" s="85" t="s">
        <v>141</v>
      </c>
      <c r="C49" s="85" t="s">
        <v>1603</v>
      </c>
      <c r="D49" s="85" t="s">
        <v>94</v>
      </c>
      <c r="E49" s="85" t="s">
        <v>90</v>
      </c>
      <c r="F49" s="90"/>
      <c r="G49" s="90">
        <v>724.7</v>
      </c>
      <c r="H49" s="90">
        <v>724.7</v>
      </c>
      <c r="I49" s="379"/>
      <c r="J49" s="379">
        <f t="shared" si="0"/>
        <v>100</v>
      </c>
    </row>
    <row r="50" spans="1:10" s="130" customFormat="1" ht="15">
      <c r="A50" s="349" t="s">
        <v>1840</v>
      </c>
      <c r="B50" s="85" t="s">
        <v>141</v>
      </c>
      <c r="C50" s="85" t="s">
        <v>1603</v>
      </c>
      <c r="D50" s="85" t="s">
        <v>1841</v>
      </c>
      <c r="E50" s="85" t="s">
        <v>1071</v>
      </c>
      <c r="F50" s="243">
        <f>F51+F52</f>
        <v>2648</v>
      </c>
      <c r="G50" s="243">
        <f>G51+G52</f>
        <v>4982.7</v>
      </c>
      <c r="H50" s="243">
        <f>H51+H52</f>
        <v>4896.8</v>
      </c>
      <c r="I50" s="379">
        <f>H50/F50*100</f>
        <v>184.92447129909365</v>
      </c>
      <c r="J50" s="379">
        <f t="shared" si="0"/>
        <v>98.27603508138158</v>
      </c>
    </row>
    <row r="51" spans="1:10" s="130" customFormat="1" ht="15">
      <c r="A51" s="87" t="s">
        <v>1597</v>
      </c>
      <c r="B51" s="85" t="s">
        <v>141</v>
      </c>
      <c r="C51" s="85" t="s">
        <v>1603</v>
      </c>
      <c r="D51" s="85" t="s">
        <v>1841</v>
      </c>
      <c r="E51" s="85" t="s">
        <v>436</v>
      </c>
      <c r="F51" s="90">
        <v>2648</v>
      </c>
      <c r="G51" s="243"/>
      <c r="H51" s="243"/>
      <c r="I51" s="379">
        <f>H51/F51*100</f>
        <v>0</v>
      </c>
      <c r="J51" s="379"/>
    </row>
    <row r="52" spans="1:10" s="130" customFormat="1" ht="15">
      <c r="A52" s="349" t="s">
        <v>1840</v>
      </c>
      <c r="B52" s="85" t="s">
        <v>141</v>
      </c>
      <c r="C52" s="85" t="s">
        <v>1603</v>
      </c>
      <c r="D52" s="85" t="s">
        <v>1841</v>
      </c>
      <c r="E52" s="85" t="s">
        <v>1842</v>
      </c>
      <c r="F52" s="90"/>
      <c r="G52" s="90">
        <v>4982.7</v>
      </c>
      <c r="H52" s="90">
        <v>4896.8</v>
      </c>
      <c r="I52" s="379"/>
      <c r="J52" s="379">
        <f t="shared" si="0"/>
        <v>98.27603508138158</v>
      </c>
    </row>
    <row r="53" spans="1:10" s="130" customFormat="1" ht="15.75" hidden="1">
      <c r="A53" s="86" t="s">
        <v>1605</v>
      </c>
      <c r="B53" s="85" t="s">
        <v>141</v>
      </c>
      <c r="C53" s="85" t="s">
        <v>1603</v>
      </c>
      <c r="D53" s="85" t="s">
        <v>1606</v>
      </c>
      <c r="E53" s="85"/>
      <c r="F53" s="243">
        <f>F54</f>
        <v>0</v>
      </c>
      <c r="G53" s="243">
        <f>G54</f>
        <v>0</v>
      </c>
      <c r="H53" s="90"/>
      <c r="I53" s="379"/>
      <c r="J53" s="379" t="e">
        <f t="shared" si="0"/>
        <v>#DIV/0!</v>
      </c>
    </row>
    <row r="54" spans="1:10" s="130" customFormat="1" ht="24" hidden="1">
      <c r="A54" s="87" t="s">
        <v>1607</v>
      </c>
      <c r="B54" s="85" t="s">
        <v>141</v>
      </c>
      <c r="C54" s="85" t="s">
        <v>1603</v>
      </c>
      <c r="D54" s="85" t="s">
        <v>1608</v>
      </c>
      <c r="E54" s="85" t="s">
        <v>1071</v>
      </c>
      <c r="F54" s="243">
        <f>F55</f>
        <v>0</v>
      </c>
      <c r="G54" s="243">
        <f>G55</f>
        <v>0</v>
      </c>
      <c r="H54" s="90"/>
      <c r="I54" s="379"/>
      <c r="J54" s="379" t="e">
        <f t="shared" si="0"/>
        <v>#DIV/0!</v>
      </c>
    </row>
    <row r="55" spans="1:10" s="130" customFormat="1" ht="15.75" hidden="1">
      <c r="A55" s="87" t="s">
        <v>171</v>
      </c>
      <c r="B55" s="85" t="s">
        <v>141</v>
      </c>
      <c r="C55" s="85" t="s">
        <v>1603</v>
      </c>
      <c r="D55" s="85" t="s">
        <v>1608</v>
      </c>
      <c r="E55" s="85" t="s">
        <v>436</v>
      </c>
      <c r="F55" s="90">
        <v>0</v>
      </c>
      <c r="G55" s="90">
        <v>0</v>
      </c>
      <c r="H55" s="243"/>
      <c r="I55" s="379"/>
      <c r="J55" s="379" t="e">
        <f t="shared" si="0"/>
        <v>#DIV/0!</v>
      </c>
    </row>
    <row r="56" spans="1:10" s="130" customFormat="1" ht="15">
      <c r="A56" s="91" t="s">
        <v>1527</v>
      </c>
      <c r="B56" s="85" t="s">
        <v>141</v>
      </c>
      <c r="C56" s="85" t="s">
        <v>172</v>
      </c>
      <c r="D56" s="85"/>
      <c r="E56" s="85"/>
      <c r="F56" s="243">
        <f>F57</f>
        <v>0</v>
      </c>
      <c r="G56" s="243">
        <f>G57</f>
        <v>270.6</v>
      </c>
      <c r="H56" s="243">
        <f>H57</f>
        <v>270.6</v>
      </c>
      <c r="I56" s="379"/>
      <c r="J56" s="379">
        <f t="shared" si="0"/>
        <v>100</v>
      </c>
    </row>
    <row r="57" spans="1:10" s="130" customFormat="1" ht="14.25" customHeight="1">
      <c r="A57" s="92" t="s">
        <v>173</v>
      </c>
      <c r="B57" s="85" t="s">
        <v>141</v>
      </c>
      <c r="C57" s="85" t="s">
        <v>172</v>
      </c>
      <c r="D57" s="85" t="s">
        <v>174</v>
      </c>
      <c r="E57" s="85" t="s">
        <v>1071</v>
      </c>
      <c r="F57" s="243">
        <f>F58+F59</f>
        <v>0</v>
      </c>
      <c r="G57" s="243">
        <f>G58+G59</f>
        <v>270.6</v>
      </c>
      <c r="H57" s="243">
        <f>H58+H59</f>
        <v>270.6</v>
      </c>
      <c r="I57" s="379"/>
      <c r="J57" s="379">
        <f t="shared" si="0"/>
        <v>100</v>
      </c>
    </row>
    <row r="58" spans="1:10" s="130" customFormat="1" ht="15">
      <c r="A58" s="87" t="s">
        <v>87</v>
      </c>
      <c r="B58" s="85" t="s">
        <v>141</v>
      </c>
      <c r="C58" s="85" t="s">
        <v>172</v>
      </c>
      <c r="D58" s="85" t="s">
        <v>174</v>
      </c>
      <c r="E58" s="85" t="s">
        <v>88</v>
      </c>
      <c r="F58" s="90"/>
      <c r="G58" s="90">
        <v>237</v>
      </c>
      <c r="H58" s="90">
        <v>237</v>
      </c>
      <c r="I58" s="379"/>
      <c r="J58" s="379">
        <f t="shared" si="0"/>
        <v>100</v>
      </c>
    </row>
    <row r="59" spans="1:10" s="136" customFormat="1" ht="15">
      <c r="A59" s="87" t="s">
        <v>1836</v>
      </c>
      <c r="B59" s="85" t="s">
        <v>141</v>
      </c>
      <c r="C59" s="85" t="s">
        <v>172</v>
      </c>
      <c r="D59" s="85" t="s">
        <v>174</v>
      </c>
      <c r="E59" s="85" t="s">
        <v>1837</v>
      </c>
      <c r="F59" s="90"/>
      <c r="G59" s="90">
        <v>33.6</v>
      </c>
      <c r="H59" s="90">
        <v>33.6</v>
      </c>
      <c r="I59" s="379"/>
      <c r="J59" s="379">
        <f t="shared" si="0"/>
        <v>100</v>
      </c>
    </row>
    <row r="60" spans="1:10" s="130" customFormat="1" ht="24">
      <c r="A60" s="91" t="s">
        <v>582</v>
      </c>
      <c r="B60" s="85" t="s">
        <v>141</v>
      </c>
      <c r="C60" s="85" t="s">
        <v>583</v>
      </c>
      <c r="D60" s="85"/>
      <c r="E60" s="85"/>
      <c r="F60" s="243">
        <f>F61+F67</f>
        <v>23536.8</v>
      </c>
      <c r="G60" s="243">
        <f>G61+G67</f>
        <v>23896.5</v>
      </c>
      <c r="H60" s="243">
        <f>H61+H67</f>
        <v>21746</v>
      </c>
      <c r="I60" s="379">
        <f>H60/F60*100</f>
        <v>92.39148907243126</v>
      </c>
      <c r="J60" s="379">
        <f t="shared" si="0"/>
        <v>91.00077417194987</v>
      </c>
    </row>
    <row r="61" spans="1:10" s="130" customFormat="1" ht="19.5" customHeight="1">
      <c r="A61" s="87" t="s">
        <v>1599</v>
      </c>
      <c r="B61" s="85" t="s">
        <v>141</v>
      </c>
      <c r="C61" s="85" t="s">
        <v>583</v>
      </c>
      <c r="D61" s="85" t="s">
        <v>1884</v>
      </c>
      <c r="E61" s="85" t="s">
        <v>1071</v>
      </c>
      <c r="F61" s="243">
        <f>SUM(F62:F66)</f>
        <v>23536.8</v>
      </c>
      <c r="G61" s="243">
        <f>SUM(G62:G66)</f>
        <v>23884</v>
      </c>
      <c r="H61" s="243">
        <f>SUM(H62:H66)</f>
        <v>21742.8</v>
      </c>
      <c r="I61" s="379">
        <f>H61/F61*100</f>
        <v>92.37789334149078</v>
      </c>
      <c r="J61" s="379">
        <f t="shared" si="0"/>
        <v>91.03500251214201</v>
      </c>
    </row>
    <row r="62" spans="1:10" s="130" customFormat="1" ht="26.25" customHeight="1">
      <c r="A62" s="87" t="s">
        <v>1832</v>
      </c>
      <c r="B62" s="85" t="s">
        <v>141</v>
      </c>
      <c r="C62" s="85" t="s">
        <v>583</v>
      </c>
      <c r="D62" s="85" t="s">
        <v>1884</v>
      </c>
      <c r="E62" s="85" t="s">
        <v>1833</v>
      </c>
      <c r="F62" s="90"/>
      <c r="G62" s="90">
        <f>21182.5+402.6</f>
        <v>21585.1</v>
      </c>
      <c r="H62" s="90">
        <v>20127.5</v>
      </c>
      <c r="I62" s="379"/>
      <c r="J62" s="379">
        <f t="shared" si="0"/>
        <v>93.2471936660011</v>
      </c>
    </row>
    <row r="63" spans="1:10" s="130" customFormat="1" ht="15">
      <c r="A63" s="87" t="s">
        <v>1834</v>
      </c>
      <c r="B63" s="85" t="s">
        <v>141</v>
      </c>
      <c r="C63" s="85" t="s">
        <v>583</v>
      </c>
      <c r="D63" s="85" t="s">
        <v>1884</v>
      </c>
      <c r="E63" s="85" t="s">
        <v>1835</v>
      </c>
      <c r="F63" s="90"/>
      <c r="G63" s="90">
        <v>3</v>
      </c>
      <c r="H63" s="90"/>
      <c r="I63" s="379"/>
      <c r="J63" s="379">
        <f t="shared" si="0"/>
        <v>0</v>
      </c>
    </row>
    <row r="64" spans="1:10" s="130" customFormat="1" ht="15">
      <c r="A64" s="87" t="s">
        <v>1836</v>
      </c>
      <c r="B64" s="85" t="s">
        <v>141</v>
      </c>
      <c r="C64" s="85" t="s">
        <v>583</v>
      </c>
      <c r="D64" s="85" t="s">
        <v>1884</v>
      </c>
      <c r="E64" s="85" t="s">
        <v>1837</v>
      </c>
      <c r="F64" s="90"/>
      <c r="G64" s="90">
        <v>2265.9</v>
      </c>
      <c r="H64" s="90">
        <v>1585.3</v>
      </c>
      <c r="I64" s="379"/>
      <c r="J64" s="379">
        <f t="shared" si="0"/>
        <v>69.96336996336996</v>
      </c>
    </row>
    <row r="65" spans="1:10" s="130" customFormat="1" ht="15">
      <c r="A65" s="87" t="s">
        <v>171</v>
      </c>
      <c r="B65" s="85" t="s">
        <v>141</v>
      </c>
      <c r="C65" s="85" t="s">
        <v>583</v>
      </c>
      <c r="D65" s="85" t="s">
        <v>1884</v>
      </c>
      <c r="E65" s="85" t="s">
        <v>436</v>
      </c>
      <c r="F65" s="90">
        <v>23536.8</v>
      </c>
      <c r="G65" s="90">
        <v>0</v>
      </c>
      <c r="H65" s="243"/>
      <c r="I65" s="379">
        <f>H65/F65*100</f>
        <v>0</v>
      </c>
      <c r="J65" s="379"/>
    </row>
    <row r="66" spans="1:10" s="130" customFormat="1" ht="34.5" customHeight="1">
      <c r="A66" s="87" t="s">
        <v>1838</v>
      </c>
      <c r="B66" s="85" t="s">
        <v>141</v>
      </c>
      <c r="C66" s="85" t="s">
        <v>583</v>
      </c>
      <c r="D66" s="85" t="s">
        <v>1884</v>
      </c>
      <c r="E66" s="85" t="s">
        <v>1839</v>
      </c>
      <c r="F66" s="90"/>
      <c r="G66" s="90">
        <v>30</v>
      </c>
      <c r="H66" s="90">
        <v>30</v>
      </c>
      <c r="I66" s="379"/>
      <c r="J66" s="379">
        <f t="shared" si="0"/>
        <v>100</v>
      </c>
    </row>
    <row r="67" spans="1:10" s="130" customFormat="1" ht="28.5" customHeight="1">
      <c r="A67" s="349" t="s">
        <v>1840</v>
      </c>
      <c r="B67" s="85" t="s">
        <v>141</v>
      </c>
      <c r="C67" s="85" t="s">
        <v>583</v>
      </c>
      <c r="D67" s="85" t="s">
        <v>1841</v>
      </c>
      <c r="E67" s="85" t="s">
        <v>1071</v>
      </c>
      <c r="F67" s="250">
        <f>F68</f>
        <v>0</v>
      </c>
      <c r="G67" s="250">
        <f>G68</f>
        <v>12.5</v>
      </c>
      <c r="H67" s="250">
        <f>H68</f>
        <v>3.2</v>
      </c>
      <c r="I67" s="379"/>
      <c r="J67" s="379">
        <f t="shared" si="0"/>
        <v>25.6</v>
      </c>
    </row>
    <row r="68" spans="1:10" s="130" customFormat="1" ht="27.75" customHeight="1">
      <c r="A68" s="349" t="s">
        <v>1840</v>
      </c>
      <c r="B68" s="85" t="s">
        <v>141</v>
      </c>
      <c r="C68" s="85" t="s">
        <v>583</v>
      </c>
      <c r="D68" s="85" t="s">
        <v>1841</v>
      </c>
      <c r="E68" s="85" t="s">
        <v>1842</v>
      </c>
      <c r="F68" s="90"/>
      <c r="G68" s="90">
        <v>12.5</v>
      </c>
      <c r="H68" s="90">
        <v>3.2</v>
      </c>
      <c r="I68" s="379"/>
      <c r="J68" s="379">
        <f t="shared" si="0"/>
        <v>25.6</v>
      </c>
    </row>
    <row r="69" spans="1:10" s="130" customFormat="1" ht="20.25" customHeight="1">
      <c r="A69" s="106" t="s">
        <v>1531</v>
      </c>
      <c r="B69" s="85" t="s">
        <v>141</v>
      </c>
      <c r="C69" s="85" t="s">
        <v>584</v>
      </c>
      <c r="D69" s="85"/>
      <c r="E69" s="85"/>
      <c r="F69" s="243">
        <f>F70+F72</f>
        <v>3019</v>
      </c>
      <c r="G69" s="243">
        <f>G70+G72</f>
        <v>3189</v>
      </c>
      <c r="H69" s="243">
        <f>H70+H72</f>
        <v>3118.3</v>
      </c>
      <c r="I69" s="379">
        <f>H69/F69*100</f>
        <v>103.2891685988738</v>
      </c>
      <c r="J69" s="379">
        <f t="shared" si="0"/>
        <v>97.78300407651301</v>
      </c>
    </row>
    <row r="70" spans="1:10" s="130" customFormat="1" ht="20.25" customHeight="1">
      <c r="A70" s="92" t="s">
        <v>585</v>
      </c>
      <c r="B70" s="85" t="s">
        <v>141</v>
      </c>
      <c r="C70" s="85" t="s">
        <v>584</v>
      </c>
      <c r="D70" s="85" t="s">
        <v>1819</v>
      </c>
      <c r="E70" s="85" t="s">
        <v>1071</v>
      </c>
      <c r="F70" s="243">
        <f>F71</f>
        <v>3019</v>
      </c>
      <c r="G70" s="243">
        <f>G71</f>
        <v>0</v>
      </c>
      <c r="H70" s="90"/>
      <c r="I70" s="379">
        <f>H70/F70*100</f>
        <v>0</v>
      </c>
      <c r="J70" s="379"/>
    </row>
    <row r="71" spans="1:10" s="130" customFormat="1" ht="20.25" customHeight="1">
      <c r="A71" s="87" t="s">
        <v>171</v>
      </c>
      <c r="B71" s="85" t="s">
        <v>141</v>
      </c>
      <c r="C71" s="85" t="s">
        <v>584</v>
      </c>
      <c r="D71" s="85" t="s">
        <v>1819</v>
      </c>
      <c r="E71" s="85" t="s">
        <v>436</v>
      </c>
      <c r="F71" s="90">
        <v>3019</v>
      </c>
      <c r="G71" s="243"/>
      <c r="H71" s="90"/>
      <c r="I71" s="379">
        <f>H71/F71*100</f>
        <v>0</v>
      </c>
      <c r="J71" s="379"/>
    </row>
    <row r="72" spans="1:10" s="130" customFormat="1" ht="15">
      <c r="A72" s="87" t="s">
        <v>95</v>
      </c>
      <c r="B72" s="85" t="s">
        <v>141</v>
      </c>
      <c r="C72" s="85" t="s">
        <v>584</v>
      </c>
      <c r="D72" s="85" t="s">
        <v>96</v>
      </c>
      <c r="E72" s="85" t="s">
        <v>1071</v>
      </c>
      <c r="F72" s="243">
        <f>F73</f>
        <v>0</v>
      </c>
      <c r="G72" s="243">
        <f>G73</f>
        <v>3189</v>
      </c>
      <c r="H72" s="243">
        <f>H73</f>
        <v>3118.3</v>
      </c>
      <c r="I72" s="379"/>
      <c r="J72" s="379">
        <f t="shared" si="0"/>
        <v>97.78300407651301</v>
      </c>
    </row>
    <row r="73" spans="1:10" s="130" customFormat="1" ht="15">
      <c r="A73" s="87" t="s">
        <v>87</v>
      </c>
      <c r="B73" s="85" t="s">
        <v>141</v>
      </c>
      <c r="C73" s="85" t="s">
        <v>584</v>
      </c>
      <c r="D73" s="85" t="s">
        <v>96</v>
      </c>
      <c r="E73" s="85" t="s">
        <v>88</v>
      </c>
      <c r="F73" s="90"/>
      <c r="G73" s="90">
        <v>3189</v>
      </c>
      <c r="H73" s="90">
        <v>3118.3</v>
      </c>
      <c r="I73" s="379"/>
      <c r="J73" s="379">
        <f t="shared" si="0"/>
        <v>97.78300407651301</v>
      </c>
    </row>
    <row r="74" spans="1:10" s="130" customFormat="1" ht="15.75" hidden="1">
      <c r="A74" s="106" t="s">
        <v>1533</v>
      </c>
      <c r="B74" s="85" t="s">
        <v>141</v>
      </c>
      <c r="C74" s="85" t="s">
        <v>589</v>
      </c>
      <c r="D74" s="85"/>
      <c r="E74" s="85"/>
      <c r="F74" s="243">
        <f>F75</f>
        <v>0</v>
      </c>
      <c r="G74" s="243">
        <f>G75</f>
        <v>0</v>
      </c>
      <c r="H74" s="248"/>
      <c r="I74" s="379"/>
      <c r="J74" s="379" t="e">
        <f t="shared" si="0"/>
        <v>#DIV/0!</v>
      </c>
    </row>
    <row r="75" spans="1:10" s="130" customFormat="1" ht="15.75" hidden="1">
      <c r="A75" s="87" t="s">
        <v>1078</v>
      </c>
      <c r="B75" s="85" t="s">
        <v>141</v>
      </c>
      <c r="C75" s="85" t="s">
        <v>589</v>
      </c>
      <c r="D75" s="85" t="s">
        <v>1079</v>
      </c>
      <c r="E75" s="85"/>
      <c r="F75" s="243">
        <f>F76</f>
        <v>0</v>
      </c>
      <c r="G75" s="243">
        <f>G76</f>
        <v>0</v>
      </c>
      <c r="H75" s="248"/>
      <c r="I75" s="379"/>
      <c r="J75" s="379" t="e">
        <f t="shared" si="0"/>
        <v>#DIV/0!</v>
      </c>
    </row>
    <row r="76" spans="1:10" s="130" customFormat="1" ht="15.75" hidden="1">
      <c r="A76" s="87" t="s">
        <v>1080</v>
      </c>
      <c r="B76" s="85" t="s">
        <v>141</v>
      </c>
      <c r="C76" s="85" t="s">
        <v>589</v>
      </c>
      <c r="D76" s="85" t="s">
        <v>1079</v>
      </c>
      <c r="E76" s="85" t="s">
        <v>1081</v>
      </c>
      <c r="F76" s="90">
        <f>55-55</f>
        <v>0</v>
      </c>
      <c r="G76" s="90">
        <f>55-55</f>
        <v>0</v>
      </c>
      <c r="H76" s="243"/>
      <c r="I76" s="379"/>
      <c r="J76" s="379" t="e">
        <f t="shared" si="0"/>
        <v>#DIV/0!</v>
      </c>
    </row>
    <row r="77" spans="1:10" s="130" customFormat="1" ht="15.75" hidden="1">
      <c r="A77" s="91" t="s">
        <v>1082</v>
      </c>
      <c r="B77" s="85" t="s">
        <v>141</v>
      </c>
      <c r="C77" s="85" t="s">
        <v>1083</v>
      </c>
      <c r="D77" s="85"/>
      <c r="E77" s="85"/>
      <c r="F77" s="243">
        <f aca="true" t="shared" si="2" ref="F77:G79">F78</f>
        <v>0</v>
      </c>
      <c r="G77" s="243">
        <f t="shared" si="2"/>
        <v>0</v>
      </c>
      <c r="H77" s="243"/>
      <c r="I77" s="379"/>
      <c r="J77" s="379" t="e">
        <f t="shared" si="0"/>
        <v>#DIV/0!</v>
      </c>
    </row>
    <row r="78" spans="1:10" s="130" customFormat="1" ht="15.75" hidden="1">
      <c r="A78" s="93" t="s">
        <v>1075</v>
      </c>
      <c r="B78" s="85" t="s">
        <v>141</v>
      </c>
      <c r="C78" s="85" t="s">
        <v>1083</v>
      </c>
      <c r="D78" s="85" t="s">
        <v>1076</v>
      </c>
      <c r="E78" s="85"/>
      <c r="F78" s="243">
        <f t="shared" si="2"/>
        <v>0</v>
      </c>
      <c r="G78" s="243">
        <f t="shared" si="2"/>
        <v>0</v>
      </c>
      <c r="H78" s="248"/>
      <c r="I78" s="379"/>
      <c r="J78" s="379" t="e">
        <f aca="true" t="shared" si="3" ref="J78:J141">H78/G78*100</f>
        <v>#DIV/0!</v>
      </c>
    </row>
    <row r="79" spans="1:10" s="130" customFormat="1" ht="15.75" hidden="1">
      <c r="A79" s="87" t="s">
        <v>538</v>
      </c>
      <c r="B79" s="85" t="s">
        <v>141</v>
      </c>
      <c r="C79" s="85" t="s">
        <v>1083</v>
      </c>
      <c r="D79" s="85" t="s">
        <v>539</v>
      </c>
      <c r="E79" s="85" t="s">
        <v>1071</v>
      </c>
      <c r="F79" s="243">
        <f t="shared" si="2"/>
        <v>0</v>
      </c>
      <c r="G79" s="243">
        <f t="shared" si="2"/>
        <v>0</v>
      </c>
      <c r="H79" s="244"/>
      <c r="I79" s="379"/>
      <c r="J79" s="379" t="e">
        <f t="shared" si="3"/>
        <v>#DIV/0!</v>
      </c>
    </row>
    <row r="80" spans="1:10" s="130" customFormat="1" ht="15.75" hidden="1">
      <c r="A80" s="87" t="s">
        <v>540</v>
      </c>
      <c r="B80" s="85" t="s">
        <v>141</v>
      </c>
      <c r="C80" s="85" t="s">
        <v>1083</v>
      </c>
      <c r="D80" s="85" t="s">
        <v>539</v>
      </c>
      <c r="E80" s="85" t="s">
        <v>541</v>
      </c>
      <c r="F80" s="90"/>
      <c r="G80" s="90"/>
      <c r="H80" s="243"/>
      <c r="I80" s="379"/>
      <c r="J80" s="379" t="e">
        <f t="shared" si="3"/>
        <v>#DIV/0!</v>
      </c>
    </row>
    <row r="81" spans="1:10" s="130" customFormat="1" ht="15">
      <c r="A81" s="106" t="s">
        <v>1535</v>
      </c>
      <c r="B81" s="85" t="s">
        <v>141</v>
      </c>
      <c r="C81" s="85" t="s">
        <v>1083</v>
      </c>
      <c r="D81" s="281"/>
      <c r="E81" s="85"/>
      <c r="F81" s="243">
        <f>F83</f>
        <v>7000</v>
      </c>
      <c r="G81" s="243">
        <f>G83</f>
        <v>8333</v>
      </c>
      <c r="H81" s="243">
        <f>H83</f>
        <v>0</v>
      </c>
      <c r="I81" s="379"/>
      <c r="J81" s="379">
        <f t="shared" si="3"/>
        <v>0</v>
      </c>
    </row>
    <row r="82" spans="1:10" s="130" customFormat="1" ht="34.5" customHeight="1">
      <c r="A82" s="86" t="s">
        <v>1535</v>
      </c>
      <c r="B82" s="85" t="s">
        <v>141</v>
      </c>
      <c r="C82" s="85" t="s">
        <v>1083</v>
      </c>
      <c r="D82" s="85" t="s">
        <v>542</v>
      </c>
      <c r="E82" s="85"/>
      <c r="F82" s="243">
        <f>F83</f>
        <v>7000</v>
      </c>
      <c r="G82" s="243">
        <f>G83</f>
        <v>8333</v>
      </c>
      <c r="H82" s="243">
        <f>H83</f>
        <v>0</v>
      </c>
      <c r="I82" s="379"/>
      <c r="J82" s="379">
        <f t="shared" si="3"/>
        <v>0</v>
      </c>
    </row>
    <row r="83" spans="1:10" s="130" customFormat="1" ht="15">
      <c r="A83" s="87" t="s">
        <v>543</v>
      </c>
      <c r="B83" s="85" t="s">
        <v>141</v>
      </c>
      <c r="C83" s="85" t="s">
        <v>1083</v>
      </c>
      <c r="D83" s="85" t="s">
        <v>544</v>
      </c>
      <c r="E83" s="85" t="s">
        <v>1071</v>
      </c>
      <c r="F83" s="243">
        <f>F84+F85</f>
        <v>7000</v>
      </c>
      <c r="G83" s="243">
        <f>G84+G85</f>
        <v>8333</v>
      </c>
      <c r="H83" s="243">
        <f>H84+H85</f>
        <v>0</v>
      </c>
      <c r="I83" s="379"/>
      <c r="J83" s="379">
        <f t="shared" si="3"/>
        <v>0</v>
      </c>
    </row>
    <row r="84" spans="1:10" s="130" customFormat="1" ht="15">
      <c r="A84" s="87" t="s">
        <v>540</v>
      </c>
      <c r="B84" s="85" t="s">
        <v>141</v>
      </c>
      <c r="C84" s="85" t="s">
        <v>1083</v>
      </c>
      <c r="D84" s="85" t="s">
        <v>544</v>
      </c>
      <c r="E84" s="85" t="s">
        <v>541</v>
      </c>
      <c r="F84" s="90">
        <v>7000</v>
      </c>
      <c r="G84" s="243"/>
      <c r="H84" s="90"/>
      <c r="I84" s="379"/>
      <c r="J84" s="379"/>
    </row>
    <row r="85" spans="1:10" s="130" customFormat="1" ht="15.75">
      <c r="A85" s="87" t="s">
        <v>97</v>
      </c>
      <c r="B85" s="85" t="s">
        <v>141</v>
      </c>
      <c r="C85" s="85" t="s">
        <v>1083</v>
      </c>
      <c r="D85" s="85" t="s">
        <v>544</v>
      </c>
      <c r="E85" s="85" t="s">
        <v>98</v>
      </c>
      <c r="F85" s="90"/>
      <c r="G85" s="90">
        <v>8333</v>
      </c>
      <c r="H85" s="245"/>
      <c r="I85" s="379"/>
      <c r="J85" s="379">
        <f t="shared" si="3"/>
        <v>0</v>
      </c>
    </row>
    <row r="86" spans="1:10" s="130" customFormat="1" ht="24" hidden="1">
      <c r="A86" s="106" t="s">
        <v>545</v>
      </c>
      <c r="B86" s="85" t="s">
        <v>141</v>
      </c>
      <c r="C86" s="85" t="s">
        <v>546</v>
      </c>
      <c r="D86" s="85"/>
      <c r="E86" s="85"/>
      <c r="F86" s="243">
        <f aca="true" t="shared" si="4" ref="F86:G89">F87</f>
        <v>0</v>
      </c>
      <c r="G86" s="243">
        <f t="shared" si="4"/>
        <v>0</v>
      </c>
      <c r="H86" s="243"/>
      <c r="I86" s="379" t="e">
        <f>H86/F86*100</f>
        <v>#DIV/0!</v>
      </c>
      <c r="J86" s="379" t="e">
        <f t="shared" si="3"/>
        <v>#DIV/0!</v>
      </c>
    </row>
    <row r="87" spans="1:10" s="130" customFormat="1" ht="15.75" hidden="1">
      <c r="A87" s="93" t="s">
        <v>1604</v>
      </c>
      <c r="B87" s="85" t="s">
        <v>141</v>
      </c>
      <c r="C87" s="85" t="s">
        <v>546</v>
      </c>
      <c r="D87" s="85" t="s">
        <v>547</v>
      </c>
      <c r="E87" s="85"/>
      <c r="F87" s="243">
        <f t="shared" si="4"/>
        <v>0</v>
      </c>
      <c r="G87" s="243">
        <f t="shared" si="4"/>
        <v>0</v>
      </c>
      <c r="H87" s="243"/>
      <c r="I87" s="379" t="e">
        <f>H87/F87*100</f>
        <v>#DIV/0!</v>
      </c>
      <c r="J87" s="379" t="e">
        <f t="shared" si="3"/>
        <v>#DIV/0!</v>
      </c>
    </row>
    <row r="88" spans="1:10" s="130" customFormat="1" ht="15.75" hidden="1">
      <c r="A88" s="87" t="s">
        <v>548</v>
      </c>
      <c r="B88" s="85" t="s">
        <v>141</v>
      </c>
      <c r="C88" s="85" t="s">
        <v>546</v>
      </c>
      <c r="D88" s="85" t="s">
        <v>549</v>
      </c>
      <c r="E88" s="200"/>
      <c r="F88" s="243">
        <f t="shared" si="4"/>
        <v>0</v>
      </c>
      <c r="G88" s="243">
        <f t="shared" si="4"/>
        <v>0</v>
      </c>
      <c r="H88" s="243"/>
      <c r="I88" s="379" t="e">
        <f>H88/F88*100</f>
        <v>#DIV/0!</v>
      </c>
      <c r="J88" s="379" t="e">
        <f t="shared" si="3"/>
        <v>#DIV/0!</v>
      </c>
    </row>
    <row r="89" spans="1:10" s="130" customFormat="1" ht="15.75" hidden="1">
      <c r="A89" s="87" t="s">
        <v>661</v>
      </c>
      <c r="B89" s="85" t="s">
        <v>141</v>
      </c>
      <c r="C89" s="85" t="s">
        <v>546</v>
      </c>
      <c r="D89" s="85" t="s">
        <v>662</v>
      </c>
      <c r="E89" s="85" t="s">
        <v>1071</v>
      </c>
      <c r="F89" s="243">
        <f t="shared" si="4"/>
        <v>0</v>
      </c>
      <c r="G89" s="243">
        <f t="shared" si="4"/>
        <v>0</v>
      </c>
      <c r="H89" s="90"/>
      <c r="I89" s="379" t="e">
        <f>H89/F89*100</f>
        <v>#DIV/0!</v>
      </c>
      <c r="J89" s="379" t="e">
        <f t="shared" si="3"/>
        <v>#DIV/0!</v>
      </c>
    </row>
    <row r="90" spans="1:10" s="130" customFormat="1" ht="21" customHeight="1" hidden="1">
      <c r="A90" s="87" t="s">
        <v>1758</v>
      </c>
      <c r="B90" s="85" t="s">
        <v>141</v>
      </c>
      <c r="C90" s="85" t="s">
        <v>546</v>
      </c>
      <c r="D90" s="85" t="s">
        <v>662</v>
      </c>
      <c r="E90" s="85" t="s">
        <v>1878</v>
      </c>
      <c r="F90" s="90">
        <v>0</v>
      </c>
      <c r="G90" s="90">
        <v>0</v>
      </c>
      <c r="H90" s="243"/>
      <c r="I90" s="379" t="e">
        <f>H90/F90*100</f>
        <v>#DIV/0!</v>
      </c>
      <c r="J90" s="379" t="e">
        <f t="shared" si="3"/>
        <v>#DIV/0!</v>
      </c>
    </row>
    <row r="91" spans="1:10" s="130" customFormat="1" ht="15">
      <c r="A91" s="91" t="s">
        <v>1538</v>
      </c>
      <c r="B91" s="85" t="s">
        <v>141</v>
      </c>
      <c r="C91" s="85" t="s">
        <v>546</v>
      </c>
      <c r="D91" s="85"/>
      <c r="E91" s="85"/>
      <c r="F91" s="243">
        <f>F92+F94+F111+F127+F137</f>
        <v>219904.3</v>
      </c>
      <c r="G91" s="243">
        <f>G92+G94+G111+G127+G137</f>
        <v>465695.39999999997</v>
      </c>
      <c r="H91" s="243">
        <f>H92+H94+H111+H127+H137</f>
        <v>461545.49999999994</v>
      </c>
      <c r="I91" s="421" t="s">
        <v>1212</v>
      </c>
      <c r="J91" s="379">
        <f t="shared" si="3"/>
        <v>99.10888104112688</v>
      </c>
    </row>
    <row r="92" spans="1:10" s="130" customFormat="1" ht="24" hidden="1">
      <c r="A92" s="91" t="s">
        <v>1759</v>
      </c>
      <c r="B92" s="85" t="s">
        <v>141</v>
      </c>
      <c r="C92" s="85" t="s">
        <v>546</v>
      </c>
      <c r="D92" s="85" t="s">
        <v>432</v>
      </c>
      <c r="E92" s="85"/>
      <c r="F92" s="243">
        <f>F93</f>
        <v>0</v>
      </c>
      <c r="G92" s="243">
        <f>G93</f>
        <v>0</v>
      </c>
      <c r="H92" s="243">
        <f>H93</f>
        <v>0</v>
      </c>
      <c r="I92" s="379" t="e">
        <f>H92/F92*100</f>
        <v>#DIV/0!</v>
      </c>
      <c r="J92" s="379" t="e">
        <f t="shared" si="3"/>
        <v>#DIV/0!</v>
      </c>
    </row>
    <row r="93" spans="1:10" s="130" customFormat="1" ht="15.75" hidden="1">
      <c r="A93" s="87" t="s">
        <v>171</v>
      </c>
      <c r="B93" s="85" t="s">
        <v>141</v>
      </c>
      <c r="C93" s="85" t="s">
        <v>546</v>
      </c>
      <c r="D93" s="85" t="s">
        <v>432</v>
      </c>
      <c r="E93" s="85" t="s">
        <v>436</v>
      </c>
      <c r="F93" s="90"/>
      <c r="G93" s="90"/>
      <c r="H93" s="90"/>
      <c r="I93" s="379" t="e">
        <f>H93/F93*100</f>
        <v>#DIV/0!</v>
      </c>
      <c r="J93" s="379" t="e">
        <f t="shared" si="3"/>
        <v>#DIV/0!</v>
      </c>
    </row>
    <row r="94" spans="1:10" s="130" customFormat="1" ht="24">
      <c r="A94" s="86" t="s">
        <v>143</v>
      </c>
      <c r="B94" s="85" t="s">
        <v>141</v>
      </c>
      <c r="C94" s="85" t="s">
        <v>546</v>
      </c>
      <c r="D94" s="85" t="s">
        <v>144</v>
      </c>
      <c r="E94" s="85"/>
      <c r="F94" s="243">
        <f>F95+F101+F105+F109</f>
        <v>45954.1</v>
      </c>
      <c r="G94" s="243">
        <f>G95+G101+G105</f>
        <v>49727.6</v>
      </c>
      <c r="H94" s="243">
        <f>H95+H101+H105</f>
        <v>47539</v>
      </c>
      <c r="I94" s="379">
        <f>H94/F94*100</f>
        <v>103.44887616121304</v>
      </c>
      <c r="J94" s="379">
        <f t="shared" si="3"/>
        <v>95.59882238434994</v>
      </c>
    </row>
    <row r="95" spans="1:10" s="130" customFormat="1" ht="15">
      <c r="A95" s="93" t="s">
        <v>1599</v>
      </c>
      <c r="B95" s="85" t="s">
        <v>141</v>
      </c>
      <c r="C95" s="85" t="s">
        <v>546</v>
      </c>
      <c r="D95" s="85" t="s">
        <v>1884</v>
      </c>
      <c r="E95" s="85" t="s">
        <v>1071</v>
      </c>
      <c r="F95" s="243">
        <f>F96+F97+F98+F99+F100</f>
        <v>17811.1</v>
      </c>
      <c r="G95" s="243">
        <f>G96+G97+G98+G99+G100</f>
        <v>18318.5</v>
      </c>
      <c r="H95" s="243">
        <f>H96+H97+H98+H99+H100</f>
        <v>17360.9</v>
      </c>
      <c r="I95" s="379">
        <f>H95/F95*100</f>
        <v>97.47236274008905</v>
      </c>
      <c r="J95" s="379">
        <f t="shared" si="3"/>
        <v>94.77249774817807</v>
      </c>
    </row>
    <row r="96" spans="1:10" s="130" customFormat="1" ht="15">
      <c r="A96" s="87" t="s">
        <v>1832</v>
      </c>
      <c r="B96" s="85" t="s">
        <v>141</v>
      </c>
      <c r="C96" s="85" t="s">
        <v>546</v>
      </c>
      <c r="D96" s="85" t="s">
        <v>1884</v>
      </c>
      <c r="E96" s="85" t="s">
        <v>1833</v>
      </c>
      <c r="F96" s="90"/>
      <c r="G96" s="90">
        <v>17574.7</v>
      </c>
      <c r="H96" s="243">
        <v>16630.1</v>
      </c>
      <c r="I96" s="379"/>
      <c r="J96" s="379">
        <f t="shared" si="3"/>
        <v>94.62522831115182</v>
      </c>
    </row>
    <row r="97" spans="1:10" s="130" customFormat="1" ht="15">
      <c r="A97" s="87" t="s">
        <v>1843</v>
      </c>
      <c r="B97" s="85" t="s">
        <v>141</v>
      </c>
      <c r="C97" s="85" t="s">
        <v>546</v>
      </c>
      <c r="D97" s="85" t="s">
        <v>1884</v>
      </c>
      <c r="E97" s="85" t="s">
        <v>1835</v>
      </c>
      <c r="F97" s="90"/>
      <c r="G97" s="90">
        <f>10-9</f>
        <v>1</v>
      </c>
      <c r="H97" s="90">
        <v>0.4</v>
      </c>
      <c r="I97" s="379"/>
      <c r="J97" s="379">
        <f t="shared" si="3"/>
        <v>40</v>
      </c>
    </row>
    <row r="98" spans="1:10" s="130" customFormat="1" ht="15">
      <c r="A98" s="87" t="s">
        <v>1836</v>
      </c>
      <c r="B98" s="85" t="s">
        <v>141</v>
      </c>
      <c r="C98" s="85" t="s">
        <v>546</v>
      </c>
      <c r="D98" s="85" t="s">
        <v>1884</v>
      </c>
      <c r="E98" s="85" t="s">
        <v>1837</v>
      </c>
      <c r="F98" s="90"/>
      <c r="G98" s="90">
        <f>568+130-2+9+72-36.2</f>
        <v>740.8</v>
      </c>
      <c r="H98" s="90">
        <v>729.4</v>
      </c>
      <c r="I98" s="379"/>
      <c r="J98" s="379">
        <f t="shared" si="3"/>
        <v>98.46112311015119</v>
      </c>
    </row>
    <row r="99" spans="1:10" s="130" customFormat="1" ht="15">
      <c r="A99" s="87" t="s">
        <v>1597</v>
      </c>
      <c r="B99" s="85" t="s">
        <v>141</v>
      </c>
      <c r="C99" s="85" t="s">
        <v>546</v>
      </c>
      <c r="D99" s="85" t="s">
        <v>1884</v>
      </c>
      <c r="E99" s="85" t="s">
        <v>436</v>
      </c>
      <c r="F99" s="90">
        <v>17811.1</v>
      </c>
      <c r="G99" s="90">
        <v>0</v>
      </c>
      <c r="H99" s="90"/>
      <c r="I99" s="379">
        <f>H99/F99*100</f>
        <v>0</v>
      </c>
      <c r="J99" s="379"/>
    </row>
    <row r="100" spans="1:10" s="130" customFormat="1" ht="15">
      <c r="A100" s="87" t="s">
        <v>1838</v>
      </c>
      <c r="B100" s="85" t="s">
        <v>141</v>
      </c>
      <c r="C100" s="85" t="s">
        <v>546</v>
      </c>
      <c r="D100" s="85" t="s">
        <v>1884</v>
      </c>
      <c r="E100" s="85" t="s">
        <v>1839</v>
      </c>
      <c r="F100" s="90"/>
      <c r="G100" s="90">
        <v>2</v>
      </c>
      <c r="H100" s="90">
        <v>1</v>
      </c>
      <c r="I100" s="379"/>
      <c r="J100" s="379">
        <f t="shared" si="3"/>
        <v>50</v>
      </c>
    </row>
    <row r="101" spans="1:10" s="130" customFormat="1" ht="15">
      <c r="A101" s="349" t="s">
        <v>1840</v>
      </c>
      <c r="B101" s="85" t="s">
        <v>141</v>
      </c>
      <c r="C101" s="85" t="s">
        <v>546</v>
      </c>
      <c r="D101" s="85" t="s">
        <v>1841</v>
      </c>
      <c r="E101" s="85" t="s">
        <v>1071</v>
      </c>
      <c r="F101" s="243">
        <f>F102+F103+F104</f>
        <v>15678.9</v>
      </c>
      <c r="G101" s="243">
        <f>G102+G103+G104</f>
        <v>15678.9</v>
      </c>
      <c r="H101" s="243">
        <f>H102+H103+H104</f>
        <v>15653.4</v>
      </c>
      <c r="I101" s="379">
        <f>H101/F101*100</f>
        <v>99.83736103935863</v>
      </c>
      <c r="J101" s="379">
        <f t="shared" si="3"/>
        <v>99.83736103935863</v>
      </c>
    </row>
    <row r="102" spans="1:10" s="130" customFormat="1" ht="15">
      <c r="A102" s="87" t="s">
        <v>100</v>
      </c>
      <c r="B102" s="85" t="s">
        <v>141</v>
      </c>
      <c r="C102" s="85" t="s">
        <v>546</v>
      </c>
      <c r="D102" s="85" t="s">
        <v>1841</v>
      </c>
      <c r="E102" s="85" t="s">
        <v>101</v>
      </c>
      <c r="F102" s="90">
        <v>15673.9</v>
      </c>
      <c r="G102" s="243"/>
      <c r="H102" s="243"/>
      <c r="I102" s="379">
        <f>H102/F102*100</f>
        <v>0</v>
      </c>
      <c r="J102" s="379"/>
    </row>
    <row r="103" spans="1:10" s="130" customFormat="1" ht="15">
      <c r="A103" s="87" t="s">
        <v>1597</v>
      </c>
      <c r="B103" s="85" t="s">
        <v>141</v>
      </c>
      <c r="C103" s="85" t="s">
        <v>546</v>
      </c>
      <c r="D103" s="85" t="s">
        <v>1841</v>
      </c>
      <c r="E103" s="85" t="s">
        <v>436</v>
      </c>
      <c r="F103" s="90">
        <v>5</v>
      </c>
      <c r="G103" s="243"/>
      <c r="H103" s="243"/>
      <c r="I103" s="379">
        <f>H103/F103*100</f>
        <v>0</v>
      </c>
      <c r="J103" s="379"/>
    </row>
    <row r="104" spans="1:10" s="130" customFormat="1" ht="15">
      <c r="A104" s="349" t="s">
        <v>1840</v>
      </c>
      <c r="B104" s="85" t="s">
        <v>141</v>
      </c>
      <c r="C104" s="85" t="s">
        <v>546</v>
      </c>
      <c r="D104" s="85" t="s">
        <v>1841</v>
      </c>
      <c r="E104" s="85" t="s">
        <v>1842</v>
      </c>
      <c r="F104" s="90"/>
      <c r="G104" s="90">
        <v>15678.9</v>
      </c>
      <c r="H104" s="90">
        <v>15653.4</v>
      </c>
      <c r="I104" s="379"/>
      <c r="J104" s="379">
        <f t="shared" si="3"/>
        <v>99.83736103935863</v>
      </c>
    </row>
    <row r="105" spans="1:10" s="130" customFormat="1" ht="15">
      <c r="A105" s="87" t="s">
        <v>661</v>
      </c>
      <c r="B105" s="85" t="s">
        <v>141</v>
      </c>
      <c r="C105" s="85" t="s">
        <v>546</v>
      </c>
      <c r="D105" s="85" t="s">
        <v>1760</v>
      </c>
      <c r="E105" s="85" t="s">
        <v>1071</v>
      </c>
      <c r="F105" s="243">
        <f>F106+F107+F108</f>
        <v>0</v>
      </c>
      <c r="G105" s="243">
        <f>G106+G107+G108</f>
        <v>15730.199999999999</v>
      </c>
      <c r="H105" s="243">
        <f>H106+H107+H108</f>
        <v>14524.699999999999</v>
      </c>
      <c r="I105" s="379"/>
      <c r="J105" s="379">
        <f t="shared" si="3"/>
        <v>92.33639750289252</v>
      </c>
    </row>
    <row r="106" spans="1:10" s="130" customFormat="1" ht="15">
      <c r="A106" s="87" t="s">
        <v>1832</v>
      </c>
      <c r="B106" s="85" t="s">
        <v>141</v>
      </c>
      <c r="C106" s="85" t="s">
        <v>546</v>
      </c>
      <c r="D106" s="85" t="s">
        <v>1760</v>
      </c>
      <c r="E106" s="85" t="s">
        <v>99</v>
      </c>
      <c r="F106" s="90"/>
      <c r="G106" s="90">
        <v>7584.4</v>
      </c>
      <c r="H106" s="90">
        <v>7436.4</v>
      </c>
      <c r="I106" s="379"/>
      <c r="J106" s="379">
        <f t="shared" si="3"/>
        <v>98.04862612731397</v>
      </c>
    </row>
    <row r="107" spans="1:10" s="130" customFormat="1" ht="15">
      <c r="A107" s="87" t="s">
        <v>1836</v>
      </c>
      <c r="B107" s="85" t="s">
        <v>141</v>
      </c>
      <c r="C107" s="85" t="s">
        <v>546</v>
      </c>
      <c r="D107" s="85" t="s">
        <v>1760</v>
      </c>
      <c r="E107" s="85" t="s">
        <v>1837</v>
      </c>
      <c r="F107" s="90"/>
      <c r="G107" s="90">
        <v>8131.4</v>
      </c>
      <c r="H107" s="90">
        <v>7081</v>
      </c>
      <c r="I107" s="379"/>
      <c r="J107" s="379">
        <f t="shared" si="3"/>
        <v>87.08217527117102</v>
      </c>
    </row>
    <row r="108" spans="1:10" s="130" customFormat="1" ht="15">
      <c r="A108" s="349" t="s">
        <v>1838</v>
      </c>
      <c r="B108" s="85" t="s">
        <v>141</v>
      </c>
      <c r="C108" s="85" t="s">
        <v>546</v>
      </c>
      <c r="D108" s="85" t="s">
        <v>1841</v>
      </c>
      <c r="E108" s="85" t="s">
        <v>1839</v>
      </c>
      <c r="F108" s="90"/>
      <c r="G108" s="90">
        <f>11.4+3</f>
        <v>14.4</v>
      </c>
      <c r="H108" s="90">
        <v>7.3</v>
      </c>
      <c r="I108" s="379"/>
      <c r="J108" s="379">
        <f t="shared" si="3"/>
        <v>50.69444444444444</v>
      </c>
    </row>
    <row r="109" spans="1:10" s="130" customFormat="1" ht="15">
      <c r="A109" s="87" t="s">
        <v>661</v>
      </c>
      <c r="B109" s="85" t="s">
        <v>141</v>
      </c>
      <c r="C109" s="85" t="s">
        <v>546</v>
      </c>
      <c r="D109" s="85" t="s">
        <v>1760</v>
      </c>
      <c r="E109" s="85" t="s">
        <v>1071</v>
      </c>
      <c r="F109" s="243">
        <f>F110</f>
        <v>12464.1</v>
      </c>
      <c r="G109" s="243">
        <f>G110</f>
        <v>0</v>
      </c>
      <c r="H109" s="90"/>
      <c r="I109" s="379">
        <f>H109/F109*100</f>
        <v>0</v>
      </c>
      <c r="J109" s="379"/>
    </row>
    <row r="110" spans="1:10" s="130" customFormat="1" ht="15">
      <c r="A110" s="87" t="s">
        <v>100</v>
      </c>
      <c r="B110" s="85" t="s">
        <v>141</v>
      </c>
      <c r="C110" s="85" t="s">
        <v>546</v>
      </c>
      <c r="D110" s="85" t="s">
        <v>1760</v>
      </c>
      <c r="E110" s="85" t="s">
        <v>101</v>
      </c>
      <c r="F110" s="90">
        <v>12464.1</v>
      </c>
      <c r="G110" s="90"/>
      <c r="H110" s="243"/>
      <c r="I110" s="379">
        <f>H110/F110*100</f>
        <v>0</v>
      </c>
      <c r="J110" s="379"/>
    </row>
    <row r="111" spans="1:10" s="130" customFormat="1" ht="24">
      <c r="A111" s="93" t="s">
        <v>1761</v>
      </c>
      <c r="B111" s="85" t="s">
        <v>141</v>
      </c>
      <c r="C111" s="85" t="s">
        <v>546</v>
      </c>
      <c r="D111" s="85" t="s">
        <v>573</v>
      </c>
      <c r="E111" s="85"/>
      <c r="F111" s="243">
        <f>F112+F116</f>
        <v>8339.2</v>
      </c>
      <c r="G111" s="243">
        <f>G112+G116</f>
        <v>103645.2</v>
      </c>
      <c r="H111" s="243">
        <f>H112+H116</f>
        <v>101683.89999999998</v>
      </c>
      <c r="I111" s="421" t="s">
        <v>1212</v>
      </c>
      <c r="J111" s="379">
        <f t="shared" si="3"/>
        <v>98.1076788891333</v>
      </c>
    </row>
    <row r="112" spans="1:10" s="130" customFormat="1" ht="24">
      <c r="A112" s="92" t="s">
        <v>102</v>
      </c>
      <c r="B112" s="85" t="s">
        <v>141</v>
      </c>
      <c r="C112" s="85" t="s">
        <v>546</v>
      </c>
      <c r="D112" s="85" t="s">
        <v>891</v>
      </c>
      <c r="E112" s="85" t="s">
        <v>1071</v>
      </c>
      <c r="F112" s="243">
        <f>F113+F114+F115</f>
        <v>50</v>
      </c>
      <c r="G112" s="243">
        <f>G113+G114+G115</f>
        <v>25</v>
      </c>
      <c r="H112" s="243">
        <f>H113+H114+H115</f>
        <v>19.9</v>
      </c>
      <c r="I112" s="379">
        <f>H112/F112*100</f>
        <v>39.8</v>
      </c>
      <c r="J112" s="379">
        <f t="shared" si="3"/>
        <v>79.6</v>
      </c>
    </row>
    <row r="113" spans="1:10" s="130" customFormat="1" ht="15.75" hidden="1">
      <c r="A113" s="87" t="s">
        <v>924</v>
      </c>
      <c r="B113" s="85" t="s">
        <v>141</v>
      </c>
      <c r="C113" s="85" t="s">
        <v>546</v>
      </c>
      <c r="D113" s="85" t="s">
        <v>103</v>
      </c>
      <c r="E113" s="85" t="s">
        <v>1881</v>
      </c>
      <c r="F113" s="90">
        <v>0</v>
      </c>
      <c r="G113" s="90">
        <v>0</v>
      </c>
      <c r="H113" s="90"/>
      <c r="I113" s="379"/>
      <c r="J113" s="379"/>
    </row>
    <row r="114" spans="1:10" s="130" customFormat="1" ht="15">
      <c r="A114" s="87" t="s">
        <v>1836</v>
      </c>
      <c r="B114" s="85" t="s">
        <v>141</v>
      </c>
      <c r="C114" s="85" t="s">
        <v>546</v>
      </c>
      <c r="D114" s="85" t="s">
        <v>891</v>
      </c>
      <c r="E114" s="85" t="s">
        <v>1837</v>
      </c>
      <c r="F114" s="90"/>
      <c r="G114" s="90">
        <f>50-25</f>
        <v>25</v>
      </c>
      <c r="H114" s="90">
        <v>19.9</v>
      </c>
      <c r="I114" s="379"/>
      <c r="J114" s="379">
        <f t="shared" si="3"/>
        <v>79.6</v>
      </c>
    </row>
    <row r="115" spans="1:10" s="130" customFormat="1" ht="15">
      <c r="A115" s="87" t="s">
        <v>1597</v>
      </c>
      <c r="B115" s="85" t="s">
        <v>141</v>
      </c>
      <c r="C115" s="85" t="s">
        <v>546</v>
      </c>
      <c r="D115" s="85" t="s">
        <v>891</v>
      </c>
      <c r="E115" s="85" t="s">
        <v>436</v>
      </c>
      <c r="F115" s="90">
        <v>50</v>
      </c>
      <c r="G115" s="90"/>
      <c r="H115" s="243"/>
      <c r="I115" s="379">
        <f>H115/F115*100</f>
        <v>0</v>
      </c>
      <c r="J115" s="379"/>
    </row>
    <row r="116" spans="1:10" s="130" customFormat="1" ht="15">
      <c r="A116" s="87" t="s">
        <v>1763</v>
      </c>
      <c r="B116" s="85" t="s">
        <v>141</v>
      </c>
      <c r="C116" s="85" t="s">
        <v>546</v>
      </c>
      <c r="D116" s="85" t="s">
        <v>34</v>
      </c>
      <c r="E116" s="85" t="s">
        <v>1071</v>
      </c>
      <c r="F116" s="243">
        <f>F117+F120+F121+F122+F123</f>
        <v>8289.2</v>
      </c>
      <c r="G116" s="243">
        <f>G117+G120+G121+G122+G123</f>
        <v>103620.2</v>
      </c>
      <c r="H116" s="243">
        <f>H117+H120+H121+H122+H123</f>
        <v>101663.99999999999</v>
      </c>
      <c r="I116" s="421" t="s">
        <v>1212</v>
      </c>
      <c r="J116" s="379">
        <f t="shared" si="3"/>
        <v>98.1121441572203</v>
      </c>
    </row>
    <row r="117" spans="1:10" s="130" customFormat="1" ht="24">
      <c r="A117" s="87" t="s">
        <v>104</v>
      </c>
      <c r="B117" s="85" t="s">
        <v>141</v>
      </c>
      <c r="C117" s="85" t="s">
        <v>546</v>
      </c>
      <c r="D117" s="85" t="s">
        <v>34</v>
      </c>
      <c r="E117" s="85" t="s">
        <v>1837</v>
      </c>
      <c r="F117" s="243">
        <f>F118+F119</f>
        <v>0</v>
      </c>
      <c r="G117" s="243">
        <f>G118+G119</f>
        <v>86678.20000000001</v>
      </c>
      <c r="H117" s="243">
        <f>H118+H119</f>
        <v>86174.7</v>
      </c>
      <c r="I117" s="379"/>
      <c r="J117" s="379">
        <f t="shared" si="3"/>
        <v>99.41911576382526</v>
      </c>
    </row>
    <row r="118" spans="1:10" s="130" customFormat="1" ht="15">
      <c r="A118" s="87" t="s">
        <v>105</v>
      </c>
      <c r="B118" s="85" t="s">
        <v>141</v>
      </c>
      <c r="C118" s="85" t="s">
        <v>546</v>
      </c>
      <c r="D118" s="85" t="s">
        <v>34</v>
      </c>
      <c r="E118" s="85" t="s">
        <v>1837</v>
      </c>
      <c r="F118" s="90"/>
      <c r="G118" s="90">
        <f>23952.2+6300+32042.4+100+15122.3+5437.8+504.5</f>
        <v>83459.20000000001</v>
      </c>
      <c r="H118" s="90">
        <v>83459.2</v>
      </c>
      <c r="I118" s="379"/>
      <c r="J118" s="379">
        <f t="shared" si="3"/>
        <v>99.99999999999997</v>
      </c>
    </row>
    <row r="119" spans="1:10" s="130" customFormat="1" ht="15">
      <c r="A119" s="87" t="s">
        <v>1836</v>
      </c>
      <c r="B119" s="85" t="s">
        <v>141</v>
      </c>
      <c r="C119" s="85" t="s">
        <v>546</v>
      </c>
      <c r="D119" s="85" t="s">
        <v>34</v>
      </c>
      <c r="E119" s="85" t="s">
        <v>1837</v>
      </c>
      <c r="F119" s="90"/>
      <c r="G119" s="90">
        <v>3219</v>
      </c>
      <c r="H119" s="90">
        <v>2715.5</v>
      </c>
      <c r="I119" s="379"/>
      <c r="J119" s="379">
        <f t="shared" si="3"/>
        <v>84.35849642746194</v>
      </c>
    </row>
    <row r="120" spans="1:10" s="130" customFormat="1" ht="24">
      <c r="A120" s="87" t="s">
        <v>106</v>
      </c>
      <c r="B120" s="85" t="s">
        <v>141</v>
      </c>
      <c r="C120" s="85" t="s">
        <v>546</v>
      </c>
      <c r="D120" s="85" t="s">
        <v>34</v>
      </c>
      <c r="E120" s="85" t="s">
        <v>181</v>
      </c>
      <c r="F120" s="90"/>
      <c r="G120" s="90">
        <v>1347.4</v>
      </c>
      <c r="H120" s="90">
        <v>1347.4</v>
      </c>
      <c r="I120" s="379"/>
      <c r="J120" s="379">
        <f t="shared" si="3"/>
        <v>100</v>
      </c>
    </row>
    <row r="121" spans="1:10" s="130" customFormat="1" ht="48">
      <c r="A121" s="87" t="s">
        <v>182</v>
      </c>
      <c r="B121" s="85" t="s">
        <v>141</v>
      </c>
      <c r="C121" s="85" t="s">
        <v>546</v>
      </c>
      <c r="D121" s="85" t="s">
        <v>34</v>
      </c>
      <c r="E121" s="85" t="s">
        <v>1409</v>
      </c>
      <c r="F121" s="90"/>
      <c r="G121" s="90">
        <f>3474.5+517.2</f>
        <v>3991.7</v>
      </c>
      <c r="H121" s="90">
        <v>3991.7</v>
      </c>
      <c r="I121" s="379"/>
      <c r="J121" s="379">
        <f t="shared" si="3"/>
        <v>100</v>
      </c>
    </row>
    <row r="122" spans="1:10" s="130" customFormat="1" ht="15">
      <c r="A122" s="87" t="s">
        <v>1597</v>
      </c>
      <c r="B122" s="85" t="s">
        <v>141</v>
      </c>
      <c r="C122" s="85" t="s">
        <v>546</v>
      </c>
      <c r="D122" s="85" t="s">
        <v>34</v>
      </c>
      <c r="E122" s="85" t="s">
        <v>436</v>
      </c>
      <c r="F122" s="90">
        <v>8289.2</v>
      </c>
      <c r="G122" s="90"/>
      <c r="H122" s="243"/>
      <c r="I122" s="379">
        <f>H122/F122*100</f>
        <v>0</v>
      </c>
      <c r="J122" s="379"/>
    </row>
    <row r="123" spans="1:10" s="130" customFormat="1" ht="15">
      <c r="A123" s="87" t="s">
        <v>183</v>
      </c>
      <c r="B123" s="85" t="s">
        <v>141</v>
      </c>
      <c r="C123" s="85" t="s">
        <v>546</v>
      </c>
      <c r="D123" s="85" t="s">
        <v>34</v>
      </c>
      <c r="E123" s="85" t="s">
        <v>184</v>
      </c>
      <c r="F123" s="243">
        <f>F124+F125+F126</f>
        <v>0</v>
      </c>
      <c r="G123" s="243">
        <f>G124+G125+G126</f>
        <v>11602.899999999998</v>
      </c>
      <c r="H123" s="243">
        <f>H124+H125+H126</f>
        <v>10150.2</v>
      </c>
      <c r="I123" s="379"/>
      <c r="J123" s="379">
        <f t="shared" si="3"/>
        <v>87.47985417438746</v>
      </c>
    </row>
    <row r="124" spans="1:10" s="130" customFormat="1" ht="24">
      <c r="A124" s="92" t="s">
        <v>185</v>
      </c>
      <c r="B124" s="85" t="s">
        <v>141</v>
      </c>
      <c r="C124" s="85" t="s">
        <v>546</v>
      </c>
      <c r="D124" s="85" t="s">
        <v>34</v>
      </c>
      <c r="E124" s="85" t="s">
        <v>186</v>
      </c>
      <c r="F124" s="90"/>
      <c r="G124" s="90">
        <f>1937.1+791.3-791.4</f>
        <v>1936.9999999999995</v>
      </c>
      <c r="H124" s="90">
        <v>1225.2</v>
      </c>
      <c r="I124" s="379"/>
      <c r="J124" s="379">
        <f t="shared" si="3"/>
        <v>63.252452245740855</v>
      </c>
    </row>
    <row r="125" spans="1:10" s="130" customFormat="1" ht="15">
      <c r="A125" s="92" t="s">
        <v>1838</v>
      </c>
      <c r="B125" s="85" t="s">
        <v>141</v>
      </c>
      <c r="C125" s="85" t="s">
        <v>546</v>
      </c>
      <c r="D125" s="85" t="s">
        <v>34</v>
      </c>
      <c r="E125" s="85" t="s">
        <v>1839</v>
      </c>
      <c r="F125" s="90"/>
      <c r="G125" s="90">
        <v>510.6</v>
      </c>
      <c r="H125" s="90">
        <v>510.6</v>
      </c>
      <c r="I125" s="379"/>
      <c r="J125" s="379">
        <f t="shared" si="3"/>
        <v>100</v>
      </c>
    </row>
    <row r="126" spans="1:10" s="130" customFormat="1" ht="15">
      <c r="A126" s="92" t="s">
        <v>187</v>
      </c>
      <c r="B126" s="85" t="s">
        <v>141</v>
      </c>
      <c r="C126" s="85" t="s">
        <v>546</v>
      </c>
      <c r="D126" s="85" t="s">
        <v>34</v>
      </c>
      <c r="E126" s="85" t="s">
        <v>188</v>
      </c>
      <c r="F126" s="90"/>
      <c r="G126" s="90">
        <v>9155.3</v>
      </c>
      <c r="H126" s="247">
        <v>8414.4</v>
      </c>
      <c r="I126" s="379"/>
      <c r="J126" s="379">
        <f t="shared" si="3"/>
        <v>91.9074197459395</v>
      </c>
    </row>
    <row r="127" spans="1:10" s="130" customFormat="1" ht="24">
      <c r="A127" s="86" t="s">
        <v>220</v>
      </c>
      <c r="B127" s="85" t="s">
        <v>141</v>
      </c>
      <c r="C127" s="85" t="s">
        <v>546</v>
      </c>
      <c r="D127" s="85" t="s">
        <v>936</v>
      </c>
      <c r="E127" s="85"/>
      <c r="F127" s="243">
        <f>F128</f>
        <v>165611</v>
      </c>
      <c r="G127" s="243">
        <f>G128+G134</f>
        <v>312322.6</v>
      </c>
      <c r="H127" s="243">
        <f>H128+H134</f>
        <v>312322.6</v>
      </c>
      <c r="I127" s="379">
        <f>H127/F127*100</f>
        <v>188.58807687895128</v>
      </c>
      <c r="J127" s="379">
        <f t="shared" si="3"/>
        <v>100</v>
      </c>
    </row>
    <row r="128" spans="1:10" s="130" customFormat="1" ht="24">
      <c r="A128" s="92" t="s">
        <v>189</v>
      </c>
      <c r="B128" s="85" t="s">
        <v>141</v>
      </c>
      <c r="C128" s="85" t="s">
        <v>546</v>
      </c>
      <c r="D128" s="85" t="s">
        <v>1049</v>
      </c>
      <c r="E128" s="85" t="s">
        <v>1071</v>
      </c>
      <c r="F128" s="243">
        <f>F129+F130+F131+F134</f>
        <v>165611</v>
      </c>
      <c r="G128" s="243">
        <f>G129+G130+G131</f>
        <v>266657.8</v>
      </c>
      <c r="H128" s="243">
        <f>H129+H130+H131</f>
        <v>266657.8</v>
      </c>
      <c r="I128" s="379">
        <f>H128/F128*100</f>
        <v>161.01454613522048</v>
      </c>
      <c r="J128" s="379">
        <f t="shared" si="3"/>
        <v>100</v>
      </c>
    </row>
    <row r="129" spans="1:10" s="130" customFormat="1" ht="15">
      <c r="A129" s="92" t="s">
        <v>105</v>
      </c>
      <c r="B129" s="85" t="s">
        <v>141</v>
      </c>
      <c r="C129" s="85" t="s">
        <v>546</v>
      </c>
      <c r="D129" s="85" t="s">
        <v>1049</v>
      </c>
      <c r="E129" s="85" t="s">
        <v>1879</v>
      </c>
      <c r="F129" s="90">
        <v>141621</v>
      </c>
      <c r="G129" s="243"/>
      <c r="H129" s="246"/>
      <c r="I129" s="379">
        <f>H129/F129*100</f>
        <v>0</v>
      </c>
      <c r="J129" s="379"/>
    </row>
    <row r="130" spans="1:10" s="130" customFormat="1" ht="15">
      <c r="A130" s="92" t="s">
        <v>1820</v>
      </c>
      <c r="B130" s="85" t="s">
        <v>141</v>
      </c>
      <c r="C130" s="85" t="s">
        <v>546</v>
      </c>
      <c r="D130" s="85" t="s">
        <v>1049</v>
      </c>
      <c r="E130" s="85" t="s">
        <v>1879</v>
      </c>
      <c r="F130" s="90">
        <v>23990</v>
      </c>
      <c r="G130" s="243"/>
      <c r="H130" s="246"/>
      <c r="I130" s="379">
        <f>H130/F130*100</f>
        <v>0</v>
      </c>
      <c r="J130" s="379"/>
    </row>
    <row r="131" spans="1:10" s="130" customFormat="1" ht="48">
      <c r="A131" s="87" t="s">
        <v>190</v>
      </c>
      <c r="B131" s="85" t="s">
        <v>141</v>
      </c>
      <c r="C131" s="85" t="s">
        <v>546</v>
      </c>
      <c r="D131" s="85" t="s">
        <v>1049</v>
      </c>
      <c r="E131" s="85" t="s">
        <v>1409</v>
      </c>
      <c r="F131" s="90"/>
      <c r="G131" s="90">
        <f>159827.8+5038+6955.8+6504.3+37337.3+47366.4+3628.2</f>
        <v>266657.8</v>
      </c>
      <c r="H131" s="84">
        <v>266657.8</v>
      </c>
      <c r="I131" s="379"/>
      <c r="J131" s="379">
        <f t="shared" si="3"/>
        <v>100</v>
      </c>
    </row>
    <row r="132" spans="1:10" s="130" customFormat="1" ht="24" hidden="1">
      <c r="A132" s="87" t="s">
        <v>191</v>
      </c>
      <c r="B132" s="85" t="s">
        <v>141</v>
      </c>
      <c r="C132" s="85" t="s">
        <v>546</v>
      </c>
      <c r="D132" s="85" t="s">
        <v>1049</v>
      </c>
      <c r="E132" s="85" t="s">
        <v>192</v>
      </c>
      <c r="F132" s="243"/>
      <c r="G132" s="243"/>
      <c r="H132" s="243"/>
      <c r="I132" s="379"/>
      <c r="J132" s="379" t="e">
        <f t="shared" si="3"/>
        <v>#DIV/0!</v>
      </c>
    </row>
    <row r="133" spans="1:10" s="130" customFormat="1" ht="36" hidden="1">
      <c r="A133" s="87" t="s">
        <v>193</v>
      </c>
      <c r="B133" s="85" t="s">
        <v>141</v>
      </c>
      <c r="C133" s="85" t="s">
        <v>546</v>
      </c>
      <c r="D133" s="85" t="s">
        <v>1049</v>
      </c>
      <c r="E133" s="85" t="s">
        <v>192</v>
      </c>
      <c r="F133" s="248">
        <f>18990+5000-23990</f>
        <v>0</v>
      </c>
      <c r="G133" s="248">
        <f>18990+5000-23990</f>
        <v>0</v>
      </c>
      <c r="H133" s="243"/>
      <c r="I133" s="379"/>
      <c r="J133" s="379" t="e">
        <f t="shared" si="3"/>
        <v>#DIV/0!</v>
      </c>
    </row>
    <row r="134" spans="1:10" s="130" customFormat="1" ht="24">
      <c r="A134" s="87" t="s">
        <v>191</v>
      </c>
      <c r="B134" s="85" t="s">
        <v>141</v>
      </c>
      <c r="C134" s="85" t="s">
        <v>546</v>
      </c>
      <c r="D134" s="85" t="s">
        <v>194</v>
      </c>
      <c r="E134" s="85" t="s">
        <v>192</v>
      </c>
      <c r="F134" s="243">
        <f>F135+F136</f>
        <v>0</v>
      </c>
      <c r="G134" s="243">
        <f>G135+G136</f>
        <v>45664.799999999996</v>
      </c>
      <c r="H134" s="243">
        <f>H135+H136</f>
        <v>45664.799999999996</v>
      </c>
      <c r="I134" s="379"/>
      <c r="J134" s="379">
        <f t="shared" si="3"/>
        <v>100</v>
      </c>
    </row>
    <row r="135" spans="1:10" s="130" customFormat="1" ht="36">
      <c r="A135" s="87" t="s">
        <v>195</v>
      </c>
      <c r="B135" s="85" t="s">
        <v>141</v>
      </c>
      <c r="C135" s="85" t="s">
        <v>546</v>
      </c>
      <c r="D135" s="85" t="s">
        <v>194</v>
      </c>
      <c r="E135" s="85" t="s">
        <v>192</v>
      </c>
      <c r="F135" s="248"/>
      <c r="G135" s="248">
        <f>17944.2+19026.5</f>
        <v>36970.7</v>
      </c>
      <c r="H135" s="84">
        <v>36970.7</v>
      </c>
      <c r="I135" s="379"/>
      <c r="J135" s="379">
        <f t="shared" si="3"/>
        <v>100</v>
      </c>
    </row>
    <row r="136" spans="1:10" s="130" customFormat="1" ht="60">
      <c r="A136" s="87" t="s">
        <v>196</v>
      </c>
      <c r="B136" s="85" t="s">
        <v>141</v>
      </c>
      <c r="C136" s="85" t="s">
        <v>546</v>
      </c>
      <c r="D136" s="85" t="s">
        <v>194</v>
      </c>
      <c r="E136" s="85" t="s">
        <v>192</v>
      </c>
      <c r="F136" s="248"/>
      <c r="G136" s="248">
        <v>8694.1</v>
      </c>
      <c r="H136" s="84">
        <v>8694.1</v>
      </c>
      <c r="I136" s="379"/>
      <c r="J136" s="379">
        <f t="shared" si="3"/>
        <v>100</v>
      </c>
    </row>
    <row r="137" spans="1:10" s="130" customFormat="1" ht="15.75" hidden="1">
      <c r="A137" s="86" t="s">
        <v>909</v>
      </c>
      <c r="B137" s="85" t="s">
        <v>141</v>
      </c>
      <c r="C137" s="85" t="s">
        <v>546</v>
      </c>
      <c r="D137" s="85" t="s">
        <v>910</v>
      </c>
      <c r="E137" s="85"/>
      <c r="F137" s="243">
        <f>F138</f>
        <v>0</v>
      </c>
      <c r="G137" s="243">
        <f>G138</f>
        <v>0</v>
      </c>
      <c r="H137" s="247"/>
      <c r="I137" s="379" t="e">
        <f>H137/F137*100</f>
        <v>#DIV/0!</v>
      </c>
      <c r="J137" s="379" t="e">
        <f t="shared" si="3"/>
        <v>#DIV/0!</v>
      </c>
    </row>
    <row r="138" spans="1:10" s="130" customFormat="1" ht="48.75" hidden="1">
      <c r="A138" s="111" t="s">
        <v>738</v>
      </c>
      <c r="B138" s="85" t="s">
        <v>141</v>
      </c>
      <c r="C138" s="85" t="s">
        <v>546</v>
      </c>
      <c r="D138" s="85" t="s">
        <v>739</v>
      </c>
      <c r="E138" s="85" t="s">
        <v>1071</v>
      </c>
      <c r="F138" s="90">
        <f>F139</f>
        <v>0</v>
      </c>
      <c r="G138" s="90">
        <f>G139</f>
        <v>0</v>
      </c>
      <c r="H138" s="243"/>
      <c r="I138" s="379" t="e">
        <f>H138/F138*100</f>
        <v>#DIV/0!</v>
      </c>
      <c r="J138" s="379" t="e">
        <f t="shared" si="3"/>
        <v>#DIV/0!</v>
      </c>
    </row>
    <row r="139" spans="1:10" s="130" customFormat="1" ht="15.75" hidden="1">
      <c r="A139" s="87" t="s">
        <v>1836</v>
      </c>
      <c r="B139" s="85" t="s">
        <v>141</v>
      </c>
      <c r="C139" s="85" t="s">
        <v>546</v>
      </c>
      <c r="D139" s="85" t="s">
        <v>739</v>
      </c>
      <c r="E139" s="85" t="s">
        <v>1837</v>
      </c>
      <c r="F139" s="90">
        <f>2342.4-2342.4</f>
        <v>0</v>
      </c>
      <c r="G139" s="90">
        <f>2342.4-2342.4</f>
        <v>0</v>
      </c>
      <c r="H139" s="243"/>
      <c r="I139" s="379" t="e">
        <f>H139/F139*100</f>
        <v>#DIV/0!</v>
      </c>
      <c r="J139" s="379" t="e">
        <f t="shared" si="3"/>
        <v>#DIV/0!</v>
      </c>
    </row>
    <row r="140" spans="1:10" s="130" customFormat="1" ht="15.75">
      <c r="A140" s="175" t="s">
        <v>1765</v>
      </c>
      <c r="B140" s="116" t="s">
        <v>142</v>
      </c>
      <c r="C140" s="85"/>
      <c r="D140" s="85"/>
      <c r="E140" s="85"/>
      <c r="F140" s="244">
        <f aca="true" t="shared" si="5" ref="F140:H142">F141</f>
        <v>50</v>
      </c>
      <c r="G140" s="244">
        <f t="shared" si="5"/>
        <v>50</v>
      </c>
      <c r="H140" s="244">
        <f t="shared" si="5"/>
        <v>0</v>
      </c>
      <c r="I140" s="379">
        <f>H140/F140*100</f>
        <v>0</v>
      </c>
      <c r="J140" s="379">
        <f t="shared" si="3"/>
        <v>0</v>
      </c>
    </row>
    <row r="141" spans="1:10" s="130" customFormat="1" ht="15">
      <c r="A141" s="91" t="s">
        <v>1542</v>
      </c>
      <c r="B141" s="85" t="s">
        <v>142</v>
      </c>
      <c r="C141" s="85" t="s">
        <v>1603</v>
      </c>
      <c r="D141" s="85"/>
      <c r="E141" s="85"/>
      <c r="F141" s="243">
        <f t="shared" si="5"/>
        <v>50</v>
      </c>
      <c r="G141" s="243">
        <f t="shared" si="5"/>
        <v>50</v>
      </c>
      <c r="H141" s="243">
        <f t="shared" si="5"/>
        <v>0</v>
      </c>
      <c r="I141" s="379">
        <f>H141/F141*100</f>
        <v>0</v>
      </c>
      <c r="J141" s="379">
        <f t="shared" si="3"/>
        <v>0</v>
      </c>
    </row>
    <row r="142" spans="1:10" s="130" customFormat="1" ht="24">
      <c r="A142" s="93" t="s">
        <v>1766</v>
      </c>
      <c r="B142" s="85" t="s">
        <v>142</v>
      </c>
      <c r="C142" s="85" t="s">
        <v>1603</v>
      </c>
      <c r="D142" s="85" t="s">
        <v>1767</v>
      </c>
      <c r="E142" s="85"/>
      <c r="F142" s="243">
        <f t="shared" si="5"/>
        <v>50</v>
      </c>
      <c r="G142" s="243">
        <f t="shared" si="5"/>
        <v>50</v>
      </c>
      <c r="H142" s="243">
        <f t="shared" si="5"/>
        <v>0</v>
      </c>
      <c r="I142" s="379">
        <f aca="true" t="shared" si="6" ref="I142:I199">H142/F142*100</f>
        <v>0</v>
      </c>
      <c r="J142" s="379">
        <f aca="true" t="shared" si="7" ref="J142:J199">H142/G142*100</f>
        <v>0</v>
      </c>
    </row>
    <row r="143" spans="1:10" s="130" customFormat="1" ht="15">
      <c r="A143" s="87" t="s">
        <v>1768</v>
      </c>
      <c r="B143" s="85" t="s">
        <v>142</v>
      </c>
      <c r="C143" s="85" t="s">
        <v>1603</v>
      </c>
      <c r="D143" s="85" t="s">
        <v>1769</v>
      </c>
      <c r="E143" s="85" t="s">
        <v>1071</v>
      </c>
      <c r="F143" s="243">
        <f>F144+F145</f>
        <v>50</v>
      </c>
      <c r="G143" s="243">
        <f>G144+G145</f>
        <v>50</v>
      </c>
      <c r="H143" s="243">
        <f>H144+H145</f>
        <v>0</v>
      </c>
      <c r="I143" s="379">
        <f t="shared" si="6"/>
        <v>0</v>
      </c>
      <c r="J143" s="379">
        <f t="shared" si="7"/>
        <v>0</v>
      </c>
    </row>
    <row r="144" spans="1:10" s="130" customFormat="1" ht="15">
      <c r="A144" s="87" t="s">
        <v>1836</v>
      </c>
      <c r="B144" s="85" t="s">
        <v>142</v>
      </c>
      <c r="C144" s="85" t="s">
        <v>1603</v>
      </c>
      <c r="D144" s="85" t="s">
        <v>1769</v>
      </c>
      <c r="E144" s="85" t="s">
        <v>1837</v>
      </c>
      <c r="F144" s="90"/>
      <c r="G144" s="90">
        <v>50</v>
      </c>
      <c r="H144" s="90"/>
      <c r="I144" s="379"/>
      <c r="J144" s="379">
        <f t="shared" si="7"/>
        <v>0</v>
      </c>
    </row>
    <row r="145" spans="1:10" s="130" customFormat="1" ht="15">
      <c r="A145" s="87" t="s">
        <v>1597</v>
      </c>
      <c r="B145" s="85" t="s">
        <v>142</v>
      </c>
      <c r="C145" s="85" t="s">
        <v>1603</v>
      </c>
      <c r="D145" s="85" t="s">
        <v>1769</v>
      </c>
      <c r="E145" s="85" t="s">
        <v>436</v>
      </c>
      <c r="F145" s="90">
        <v>50</v>
      </c>
      <c r="G145" s="90"/>
      <c r="H145" s="90"/>
      <c r="I145" s="379">
        <f t="shared" si="6"/>
        <v>0</v>
      </c>
      <c r="J145" s="379"/>
    </row>
    <row r="146" spans="1:10" s="130" customFormat="1" ht="25.5">
      <c r="A146" s="175" t="s">
        <v>1770</v>
      </c>
      <c r="B146" s="116" t="s">
        <v>1598</v>
      </c>
      <c r="C146" s="85"/>
      <c r="D146" s="85"/>
      <c r="E146" s="85"/>
      <c r="F146" s="245">
        <f>F147+F162+F172+F176</f>
        <v>3060</v>
      </c>
      <c r="G146" s="245">
        <f>G147+G162+G172+G176</f>
        <v>7060</v>
      </c>
      <c r="H146" s="245">
        <f>H147+H162+H172+H176</f>
        <v>3943.7</v>
      </c>
      <c r="I146" s="420">
        <f t="shared" si="6"/>
        <v>128.87908496732027</v>
      </c>
      <c r="J146" s="420">
        <f t="shared" si="7"/>
        <v>55.859773371104815</v>
      </c>
    </row>
    <row r="147" spans="1:10" s="130" customFormat="1" ht="15.75" hidden="1">
      <c r="A147" s="91" t="s">
        <v>1545</v>
      </c>
      <c r="B147" s="85" t="s">
        <v>1598</v>
      </c>
      <c r="C147" s="85" t="s">
        <v>142</v>
      </c>
      <c r="D147" s="85"/>
      <c r="E147" s="85"/>
      <c r="F147" s="243">
        <f>F148</f>
        <v>0</v>
      </c>
      <c r="G147" s="243">
        <f>G148</f>
        <v>0</v>
      </c>
      <c r="H147" s="243">
        <f>H148</f>
        <v>0</v>
      </c>
      <c r="I147" s="379" t="e">
        <f t="shared" si="6"/>
        <v>#DIV/0!</v>
      </c>
      <c r="J147" s="379" t="e">
        <f t="shared" si="7"/>
        <v>#DIV/0!</v>
      </c>
    </row>
    <row r="148" spans="1:10" s="130" customFormat="1" ht="15.75" hidden="1">
      <c r="A148" s="93" t="s">
        <v>1771</v>
      </c>
      <c r="B148" s="85" t="s">
        <v>1598</v>
      </c>
      <c r="C148" s="85" t="s">
        <v>142</v>
      </c>
      <c r="D148" s="85" t="s">
        <v>1772</v>
      </c>
      <c r="E148" s="85"/>
      <c r="F148" s="243">
        <f>F149+F151+F154+F157+F159</f>
        <v>0</v>
      </c>
      <c r="G148" s="243">
        <f>G149+G151+G154+G157+G159</f>
        <v>0</v>
      </c>
      <c r="H148" s="243">
        <f>H149+H151+H154+H157+H159</f>
        <v>0</v>
      </c>
      <c r="I148" s="379" t="e">
        <f t="shared" si="6"/>
        <v>#DIV/0!</v>
      </c>
      <c r="J148" s="379" t="e">
        <f t="shared" si="7"/>
        <v>#DIV/0!</v>
      </c>
    </row>
    <row r="149" spans="1:10" s="130" customFormat="1" ht="48" customHeight="1" hidden="1">
      <c r="A149" s="87" t="s">
        <v>1773</v>
      </c>
      <c r="B149" s="85" t="s">
        <v>1598</v>
      </c>
      <c r="C149" s="85" t="s">
        <v>142</v>
      </c>
      <c r="D149" s="85" t="s">
        <v>1774</v>
      </c>
      <c r="E149" s="85" t="s">
        <v>1071</v>
      </c>
      <c r="F149" s="243">
        <f>F150</f>
        <v>0</v>
      </c>
      <c r="G149" s="243">
        <f>G150</f>
        <v>0</v>
      </c>
      <c r="H149" s="243">
        <f>H150</f>
        <v>0</v>
      </c>
      <c r="I149" s="379" t="e">
        <f t="shared" si="6"/>
        <v>#DIV/0!</v>
      </c>
      <c r="J149" s="379" t="e">
        <f t="shared" si="7"/>
        <v>#DIV/0!</v>
      </c>
    </row>
    <row r="150" spans="1:10" s="130" customFormat="1" ht="15" customHeight="1" hidden="1">
      <c r="A150" s="92" t="s">
        <v>1775</v>
      </c>
      <c r="B150" s="85" t="s">
        <v>1598</v>
      </c>
      <c r="C150" s="85" t="s">
        <v>142</v>
      </c>
      <c r="D150" s="85" t="s">
        <v>1774</v>
      </c>
      <c r="E150" s="85" t="s">
        <v>1776</v>
      </c>
      <c r="F150" s="90"/>
      <c r="G150" s="90"/>
      <c r="H150" s="90"/>
      <c r="I150" s="379" t="e">
        <f t="shared" si="6"/>
        <v>#DIV/0!</v>
      </c>
      <c r="J150" s="379" t="e">
        <f t="shared" si="7"/>
        <v>#DIV/0!</v>
      </c>
    </row>
    <row r="151" spans="1:10" s="130" customFormat="1" ht="15.75" hidden="1">
      <c r="A151" s="92" t="s">
        <v>1777</v>
      </c>
      <c r="B151" s="85" t="s">
        <v>1598</v>
      </c>
      <c r="C151" s="85" t="s">
        <v>142</v>
      </c>
      <c r="D151" s="85" t="s">
        <v>1778</v>
      </c>
      <c r="E151" s="85" t="s">
        <v>1071</v>
      </c>
      <c r="F151" s="243">
        <f>F152+F153</f>
        <v>0</v>
      </c>
      <c r="G151" s="243">
        <f>G152+G153</f>
        <v>0</v>
      </c>
      <c r="H151" s="243">
        <f>H152+H153</f>
        <v>0</v>
      </c>
      <c r="I151" s="379" t="e">
        <f t="shared" si="6"/>
        <v>#DIV/0!</v>
      </c>
      <c r="J151" s="379" t="e">
        <f t="shared" si="7"/>
        <v>#DIV/0!</v>
      </c>
    </row>
    <row r="152" spans="1:10" s="130" customFormat="1" ht="24" hidden="1">
      <c r="A152" s="92" t="s">
        <v>1779</v>
      </c>
      <c r="B152" s="85" t="s">
        <v>1598</v>
      </c>
      <c r="C152" s="85" t="s">
        <v>142</v>
      </c>
      <c r="D152" s="85" t="s">
        <v>1778</v>
      </c>
      <c r="E152" s="85" t="s">
        <v>1776</v>
      </c>
      <c r="F152" s="90"/>
      <c r="G152" s="90"/>
      <c r="H152" s="90"/>
      <c r="I152" s="379" t="e">
        <f t="shared" si="6"/>
        <v>#DIV/0!</v>
      </c>
      <c r="J152" s="379" t="e">
        <f t="shared" si="7"/>
        <v>#DIV/0!</v>
      </c>
    </row>
    <row r="153" spans="1:10" s="130" customFormat="1" ht="21" customHeight="1" hidden="1">
      <c r="A153" s="92"/>
      <c r="B153" s="85"/>
      <c r="C153" s="85"/>
      <c r="D153" s="85"/>
      <c r="E153" s="85"/>
      <c r="F153" s="90"/>
      <c r="G153" s="90"/>
      <c r="H153" s="90"/>
      <c r="I153" s="379" t="e">
        <f t="shared" si="6"/>
        <v>#DIV/0!</v>
      </c>
      <c r="J153" s="379" t="e">
        <f t="shared" si="7"/>
        <v>#DIV/0!</v>
      </c>
    </row>
    <row r="154" spans="1:10" s="130" customFormat="1" ht="21" customHeight="1" hidden="1">
      <c r="A154" s="92" t="s">
        <v>1775</v>
      </c>
      <c r="B154" s="85" t="s">
        <v>1598</v>
      </c>
      <c r="C154" s="85" t="s">
        <v>142</v>
      </c>
      <c r="D154" s="85" t="s">
        <v>1780</v>
      </c>
      <c r="E154" s="85"/>
      <c r="F154" s="243">
        <f>F155+F156</f>
        <v>0</v>
      </c>
      <c r="G154" s="243">
        <f>G155+G156</f>
        <v>0</v>
      </c>
      <c r="H154" s="243">
        <f>H155+H156</f>
        <v>0</v>
      </c>
      <c r="I154" s="379" t="e">
        <f t="shared" si="6"/>
        <v>#DIV/0!</v>
      </c>
      <c r="J154" s="379" t="e">
        <f t="shared" si="7"/>
        <v>#DIV/0!</v>
      </c>
    </row>
    <row r="155" spans="1:10" s="130" customFormat="1" ht="18.75" customHeight="1" hidden="1">
      <c r="A155" s="92" t="s">
        <v>1779</v>
      </c>
      <c r="B155" s="85" t="s">
        <v>1598</v>
      </c>
      <c r="C155" s="85" t="s">
        <v>142</v>
      </c>
      <c r="D155" s="85" t="s">
        <v>1780</v>
      </c>
      <c r="E155" s="85" t="s">
        <v>1776</v>
      </c>
      <c r="F155" s="90"/>
      <c r="G155" s="90"/>
      <c r="H155" s="90"/>
      <c r="I155" s="379" t="e">
        <f t="shared" si="6"/>
        <v>#DIV/0!</v>
      </c>
      <c r="J155" s="379" t="e">
        <f t="shared" si="7"/>
        <v>#DIV/0!</v>
      </c>
    </row>
    <row r="156" spans="1:10" s="130" customFormat="1" ht="15.75" hidden="1">
      <c r="A156" s="92"/>
      <c r="B156" s="85"/>
      <c r="C156" s="85"/>
      <c r="D156" s="85"/>
      <c r="E156" s="85"/>
      <c r="F156" s="90"/>
      <c r="G156" s="90"/>
      <c r="H156" s="90"/>
      <c r="I156" s="379" t="e">
        <f t="shared" si="6"/>
        <v>#DIV/0!</v>
      </c>
      <c r="J156" s="379" t="e">
        <f t="shared" si="7"/>
        <v>#DIV/0!</v>
      </c>
    </row>
    <row r="157" spans="1:10" s="130" customFormat="1" ht="15.75" hidden="1">
      <c r="A157" s="92" t="s">
        <v>1781</v>
      </c>
      <c r="B157" s="85" t="s">
        <v>1598</v>
      </c>
      <c r="C157" s="85" t="s">
        <v>142</v>
      </c>
      <c r="D157" s="85" t="s">
        <v>1782</v>
      </c>
      <c r="E157" s="85"/>
      <c r="F157" s="243">
        <f>F158</f>
        <v>0</v>
      </c>
      <c r="G157" s="243">
        <f>G158</f>
        <v>0</v>
      </c>
      <c r="H157" s="243">
        <f>H158</f>
        <v>0</v>
      </c>
      <c r="I157" s="379" t="e">
        <f t="shared" si="6"/>
        <v>#DIV/0!</v>
      </c>
      <c r="J157" s="379" t="e">
        <f t="shared" si="7"/>
        <v>#DIV/0!</v>
      </c>
    </row>
    <row r="158" spans="1:10" s="130" customFormat="1" ht="24" hidden="1">
      <c r="A158" s="92" t="s">
        <v>1779</v>
      </c>
      <c r="B158" s="85" t="s">
        <v>1598</v>
      </c>
      <c r="C158" s="85" t="s">
        <v>142</v>
      </c>
      <c r="D158" s="85" t="s">
        <v>1782</v>
      </c>
      <c r="E158" s="85" t="s">
        <v>1776</v>
      </c>
      <c r="F158" s="90"/>
      <c r="G158" s="90"/>
      <c r="H158" s="90"/>
      <c r="I158" s="379" t="e">
        <f t="shared" si="6"/>
        <v>#DIV/0!</v>
      </c>
      <c r="J158" s="379" t="e">
        <f t="shared" si="7"/>
        <v>#DIV/0!</v>
      </c>
    </row>
    <row r="159" spans="1:10" s="130" customFormat="1" ht="24" hidden="1">
      <c r="A159" s="87" t="s">
        <v>1783</v>
      </c>
      <c r="B159" s="85" t="s">
        <v>1598</v>
      </c>
      <c r="C159" s="85" t="s">
        <v>142</v>
      </c>
      <c r="D159" s="85" t="s">
        <v>1784</v>
      </c>
      <c r="E159" s="85"/>
      <c r="F159" s="243">
        <f>F161</f>
        <v>0</v>
      </c>
      <c r="G159" s="243">
        <f>G161</f>
        <v>0</v>
      </c>
      <c r="H159" s="243">
        <f>H161</f>
        <v>0</v>
      </c>
      <c r="I159" s="379" t="e">
        <f t="shared" si="6"/>
        <v>#DIV/0!</v>
      </c>
      <c r="J159" s="379" t="e">
        <f t="shared" si="7"/>
        <v>#DIV/0!</v>
      </c>
    </row>
    <row r="160" spans="1:10" s="130" customFormat="1" ht="15.75" hidden="1">
      <c r="A160" s="92" t="s">
        <v>1785</v>
      </c>
      <c r="B160" s="85" t="s">
        <v>1598</v>
      </c>
      <c r="C160" s="85" t="s">
        <v>142</v>
      </c>
      <c r="D160" s="85" t="s">
        <v>1784</v>
      </c>
      <c r="E160" s="85" t="s">
        <v>1071</v>
      </c>
      <c r="F160" s="243"/>
      <c r="G160" s="243"/>
      <c r="H160" s="243"/>
      <c r="I160" s="379" t="e">
        <f t="shared" si="6"/>
        <v>#DIV/0!</v>
      </c>
      <c r="J160" s="379" t="e">
        <f t="shared" si="7"/>
        <v>#DIV/0!</v>
      </c>
    </row>
    <row r="161" spans="1:10" s="130" customFormat="1" ht="15.75" hidden="1">
      <c r="A161" s="87" t="s">
        <v>1786</v>
      </c>
      <c r="B161" s="85" t="s">
        <v>1598</v>
      </c>
      <c r="C161" s="85" t="s">
        <v>142</v>
      </c>
      <c r="D161" s="85" t="s">
        <v>1784</v>
      </c>
      <c r="E161" s="85" t="s">
        <v>1880</v>
      </c>
      <c r="F161" s="90"/>
      <c r="G161" s="90"/>
      <c r="H161" s="90"/>
      <c r="I161" s="379" t="e">
        <f t="shared" si="6"/>
        <v>#DIV/0!</v>
      </c>
      <c r="J161" s="379" t="e">
        <f t="shared" si="7"/>
        <v>#DIV/0!</v>
      </c>
    </row>
    <row r="162" spans="1:10" s="130" customFormat="1" ht="24">
      <c r="A162" s="91" t="s">
        <v>1787</v>
      </c>
      <c r="B162" s="85" t="s">
        <v>1598</v>
      </c>
      <c r="C162" s="85" t="s">
        <v>1788</v>
      </c>
      <c r="D162" s="85"/>
      <c r="E162" s="85"/>
      <c r="F162" s="243">
        <f>F163+F167</f>
        <v>1200</v>
      </c>
      <c r="G162" s="243">
        <f>G163+G167</f>
        <v>1200</v>
      </c>
      <c r="H162" s="243">
        <f>H163+H167</f>
        <v>630</v>
      </c>
      <c r="I162" s="379">
        <f t="shared" si="6"/>
        <v>52.5</v>
      </c>
      <c r="J162" s="379">
        <f t="shared" si="7"/>
        <v>52.5</v>
      </c>
    </row>
    <row r="163" spans="1:10" s="130" customFormat="1" ht="24">
      <c r="A163" s="93" t="s">
        <v>1789</v>
      </c>
      <c r="B163" s="85" t="s">
        <v>1598</v>
      </c>
      <c r="C163" s="85" t="s">
        <v>1788</v>
      </c>
      <c r="D163" s="85" t="s">
        <v>1790</v>
      </c>
      <c r="E163" s="85"/>
      <c r="F163" s="243">
        <f>F164</f>
        <v>100</v>
      </c>
      <c r="G163" s="243">
        <f>G164</f>
        <v>100</v>
      </c>
      <c r="H163" s="243">
        <f>H164</f>
        <v>0</v>
      </c>
      <c r="I163" s="379">
        <f t="shared" si="6"/>
        <v>0</v>
      </c>
      <c r="J163" s="379">
        <f t="shared" si="7"/>
        <v>0</v>
      </c>
    </row>
    <row r="164" spans="1:10" s="130" customFormat="1" ht="26.25" customHeight="1">
      <c r="A164" s="87" t="s">
        <v>1791</v>
      </c>
      <c r="B164" s="85" t="s">
        <v>1598</v>
      </c>
      <c r="C164" s="85" t="s">
        <v>1788</v>
      </c>
      <c r="D164" s="85" t="s">
        <v>35</v>
      </c>
      <c r="E164" s="85" t="s">
        <v>1071</v>
      </c>
      <c r="F164" s="243">
        <f>F165+F166</f>
        <v>100</v>
      </c>
      <c r="G164" s="243">
        <f>G165+G166</f>
        <v>100</v>
      </c>
      <c r="H164" s="243">
        <f>H165+H166</f>
        <v>0</v>
      </c>
      <c r="I164" s="379">
        <f t="shared" si="6"/>
        <v>0</v>
      </c>
      <c r="J164" s="379">
        <f t="shared" si="7"/>
        <v>0</v>
      </c>
    </row>
    <row r="165" spans="1:10" s="130" customFormat="1" ht="15.75" customHeight="1">
      <c r="A165" s="87" t="s">
        <v>1836</v>
      </c>
      <c r="B165" s="85" t="s">
        <v>1598</v>
      </c>
      <c r="C165" s="85" t="s">
        <v>1788</v>
      </c>
      <c r="D165" s="85" t="s">
        <v>35</v>
      </c>
      <c r="E165" s="85" t="s">
        <v>1837</v>
      </c>
      <c r="F165" s="90"/>
      <c r="G165" s="90">
        <v>100</v>
      </c>
      <c r="H165" s="243"/>
      <c r="I165" s="379"/>
      <c r="J165" s="379">
        <f t="shared" si="7"/>
        <v>0</v>
      </c>
    </row>
    <row r="166" spans="1:10" s="130" customFormat="1" ht="15.75" customHeight="1">
      <c r="A166" s="358" t="s">
        <v>1597</v>
      </c>
      <c r="B166" s="85" t="s">
        <v>1598</v>
      </c>
      <c r="C166" s="85" t="s">
        <v>1788</v>
      </c>
      <c r="D166" s="85" t="s">
        <v>35</v>
      </c>
      <c r="E166" s="85" t="s">
        <v>436</v>
      </c>
      <c r="F166" s="90">
        <v>100</v>
      </c>
      <c r="G166" s="90"/>
      <c r="H166" s="243"/>
      <c r="I166" s="379">
        <f t="shared" si="6"/>
        <v>0</v>
      </c>
      <c r="J166" s="379"/>
    </row>
    <row r="167" spans="1:10" s="130" customFormat="1" ht="15">
      <c r="A167" s="93" t="s">
        <v>1792</v>
      </c>
      <c r="B167" s="85" t="s">
        <v>1598</v>
      </c>
      <c r="C167" s="85" t="s">
        <v>1788</v>
      </c>
      <c r="D167" s="85" t="s">
        <v>1793</v>
      </c>
      <c r="E167" s="85"/>
      <c r="F167" s="243">
        <f>F168</f>
        <v>1100</v>
      </c>
      <c r="G167" s="243">
        <f>G168</f>
        <v>1100</v>
      </c>
      <c r="H167" s="243">
        <f>H168</f>
        <v>630</v>
      </c>
      <c r="I167" s="379">
        <f t="shared" si="6"/>
        <v>57.27272727272727</v>
      </c>
      <c r="J167" s="379">
        <f t="shared" si="7"/>
        <v>57.27272727272727</v>
      </c>
    </row>
    <row r="168" spans="1:10" s="130" customFormat="1" ht="24">
      <c r="A168" s="87" t="s">
        <v>1794</v>
      </c>
      <c r="B168" s="85" t="s">
        <v>1598</v>
      </c>
      <c r="C168" s="85" t="s">
        <v>1788</v>
      </c>
      <c r="D168" s="85" t="s">
        <v>36</v>
      </c>
      <c r="E168" s="85" t="s">
        <v>1071</v>
      </c>
      <c r="F168" s="243">
        <f>F169+F170+F171</f>
        <v>1100</v>
      </c>
      <c r="G168" s="243">
        <f>G169+G170+G171</f>
        <v>1100</v>
      </c>
      <c r="H168" s="243">
        <f>H169+H170+H171</f>
        <v>630</v>
      </c>
      <c r="I168" s="379">
        <f t="shared" si="6"/>
        <v>57.27272727272727</v>
      </c>
      <c r="J168" s="379">
        <f t="shared" si="7"/>
        <v>57.27272727272727</v>
      </c>
    </row>
    <row r="169" spans="1:10" s="130" customFormat="1" ht="18" customHeight="1">
      <c r="A169" s="87" t="s">
        <v>1836</v>
      </c>
      <c r="B169" s="85" t="s">
        <v>1598</v>
      </c>
      <c r="C169" s="85" t="s">
        <v>1788</v>
      </c>
      <c r="D169" s="85" t="s">
        <v>36</v>
      </c>
      <c r="E169" s="85" t="s">
        <v>1837</v>
      </c>
      <c r="F169" s="90"/>
      <c r="G169" s="90">
        <v>350</v>
      </c>
      <c r="H169" s="90">
        <v>175</v>
      </c>
      <c r="I169" s="379"/>
      <c r="J169" s="379">
        <f t="shared" si="7"/>
        <v>50</v>
      </c>
    </row>
    <row r="170" spans="1:10" s="130" customFormat="1" ht="18" customHeight="1">
      <c r="A170" s="358" t="s">
        <v>1597</v>
      </c>
      <c r="B170" s="85" t="s">
        <v>1598</v>
      </c>
      <c r="C170" s="85" t="s">
        <v>1788</v>
      </c>
      <c r="D170" s="85" t="s">
        <v>36</v>
      </c>
      <c r="E170" s="85" t="s">
        <v>436</v>
      </c>
      <c r="F170" s="90">
        <v>1100</v>
      </c>
      <c r="G170" s="90"/>
      <c r="H170" s="90"/>
      <c r="I170" s="379"/>
      <c r="J170" s="379"/>
    </row>
    <row r="171" spans="1:10" s="130" customFormat="1" ht="15">
      <c r="A171" s="87" t="s">
        <v>187</v>
      </c>
      <c r="B171" s="85" t="s">
        <v>1598</v>
      </c>
      <c r="C171" s="85" t="s">
        <v>1788</v>
      </c>
      <c r="D171" s="85" t="s">
        <v>36</v>
      </c>
      <c r="E171" s="85" t="s">
        <v>188</v>
      </c>
      <c r="F171" s="90"/>
      <c r="G171" s="90">
        <v>750</v>
      </c>
      <c r="H171" s="90">
        <v>455</v>
      </c>
      <c r="I171" s="379"/>
      <c r="J171" s="379">
        <f t="shared" si="7"/>
        <v>60.66666666666667</v>
      </c>
    </row>
    <row r="172" spans="1:10" s="130" customFormat="1" ht="15.75" hidden="1">
      <c r="A172" s="91" t="s">
        <v>261</v>
      </c>
      <c r="B172" s="85" t="s">
        <v>1598</v>
      </c>
      <c r="C172" s="85" t="s">
        <v>1795</v>
      </c>
      <c r="D172" s="85"/>
      <c r="E172" s="85"/>
      <c r="F172" s="243"/>
      <c r="G172" s="243">
        <f aca="true" t="shared" si="8" ref="F172:G174">G173</f>
        <v>0</v>
      </c>
      <c r="H172" s="90"/>
      <c r="I172" s="379" t="e">
        <f t="shared" si="6"/>
        <v>#DIV/0!</v>
      </c>
      <c r="J172" s="379" t="e">
        <f t="shared" si="7"/>
        <v>#DIV/0!</v>
      </c>
    </row>
    <row r="173" spans="1:10" s="130" customFormat="1" ht="24" hidden="1">
      <c r="A173" s="93" t="s">
        <v>906</v>
      </c>
      <c r="B173" s="85" t="s">
        <v>1598</v>
      </c>
      <c r="C173" s="85" t="s">
        <v>1795</v>
      </c>
      <c r="D173" s="85" t="s">
        <v>907</v>
      </c>
      <c r="E173" s="85"/>
      <c r="F173" s="243">
        <f t="shared" si="8"/>
        <v>0</v>
      </c>
      <c r="G173" s="243">
        <f t="shared" si="8"/>
        <v>0</v>
      </c>
      <c r="H173" s="90"/>
      <c r="I173" s="379" t="e">
        <f t="shared" si="6"/>
        <v>#DIV/0!</v>
      </c>
      <c r="J173" s="379" t="e">
        <f t="shared" si="7"/>
        <v>#DIV/0!</v>
      </c>
    </row>
    <row r="174" spans="1:10" s="130" customFormat="1" ht="15.75" hidden="1">
      <c r="A174" s="87" t="s">
        <v>661</v>
      </c>
      <c r="B174" s="85" t="s">
        <v>1598</v>
      </c>
      <c r="C174" s="85" t="s">
        <v>1795</v>
      </c>
      <c r="D174" s="85" t="s">
        <v>908</v>
      </c>
      <c r="E174" s="85" t="s">
        <v>1071</v>
      </c>
      <c r="F174" s="243">
        <f t="shared" si="8"/>
        <v>0</v>
      </c>
      <c r="G174" s="243">
        <f t="shared" si="8"/>
        <v>0</v>
      </c>
      <c r="H174" s="243"/>
      <c r="I174" s="379" t="e">
        <f t="shared" si="6"/>
        <v>#DIV/0!</v>
      </c>
      <c r="J174" s="379" t="e">
        <f t="shared" si="7"/>
        <v>#DIV/0!</v>
      </c>
    </row>
    <row r="175" spans="1:10" s="130" customFormat="1" ht="23.25" customHeight="1" hidden="1">
      <c r="A175" s="87" t="s">
        <v>1758</v>
      </c>
      <c r="B175" s="85" t="s">
        <v>1598</v>
      </c>
      <c r="C175" s="85" t="s">
        <v>1795</v>
      </c>
      <c r="D175" s="85" t="s">
        <v>908</v>
      </c>
      <c r="E175" s="85" t="s">
        <v>1878</v>
      </c>
      <c r="F175" s="90"/>
      <c r="G175" s="90"/>
      <c r="H175" s="243"/>
      <c r="I175" s="379" t="e">
        <f t="shared" si="6"/>
        <v>#DIV/0!</v>
      </c>
      <c r="J175" s="379" t="e">
        <f t="shared" si="7"/>
        <v>#DIV/0!</v>
      </c>
    </row>
    <row r="176" spans="1:10" s="130" customFormat="1" ht="22.5" customHeight="1">
      <c r="A176" s="91" t="s">
        <v>597</v>
      </c>
      <c r="B176" s="85" t="s">
        <v>1598</v>
      </c>
      <c r="C176" s="85" t="s">
        <v>1764</v>
      </c>
      <c r="D176" s="85"/>
      <c r="E176" s="85"/>
      <c r="F176" s="243">
        <f>F177+F182</f>
        <v>1860</v>
      </c>
      <c r="G176" s="243">
        <f>G177+G182</f>
        <v>5860</v>
      </c>
      <c r="H176" s="243">
        <f>H177+H182</f>
        <v>3313.7</v>
      </c>
      <c r="I176" s="379">
        <f t="shared" si="6"/>
        <v>178.15591397849462</v>
      </c>
      <c r="J176" s="379">
        <f t="shared" si="7"/>
        <v>56.54778156996587</v>
      </c>
    </row>
    <row r="177" spans="1:10" s="130" customFormat="1" ht="24">
      <c r="A177" s="86" t="s">
        <v>906</v>
      </c>
      <c r="B177" s="85" t="s">
        <v>1598</v>
      </c>
      <c r="C177" s="85" t="s">
        <v>1764</v>
      </c>
      <c r="D177" s="85" t="s">
        <v>907</v>
      </c>
      <c r="E177" s="85"/>
      <c r="F177" s="243">
        <f>F178+F179+F180</f>
        <v>560</v>
      </c>
      <c r="G177" s="243">
        <f>G178+G179+G180</f>
        <v>560</v>
      </c>
      <c r="H177" s="243">
        <f>H178+H179+H180</f>
        <v>97.3</v>
      </c>
      <c r="I177" s="379">
        <f t="shared" si="6"/>
        <v>17.375</v>
      </c>
      <c r="J177" s="379">
        <f t="shared" si="7"/>
        <v>17.375</v>
      </c>
    </row>
    <row r="178" spans="1:10" s="130" customFormat="1" ht="15">
      <c r="A178" s="87" t="s">
        <v>1836</v>
      </c>
      <c r="B178" s="85" t="s">
        <v>1598</v>
      </c>
      <c r="C178" s="85" t="s">
        <v>1764</v>
      </c>
      <c r="D178" s="85" t="s">
        <v>907</v>
      </c>
      <c r="E178" s="85" t="s">
        <v>1837</v>
      </c>
      <c r="F178" s="90"/>
      <c r="G178" s="90">
        <v>560</v>
      </c>
      <c r="H178" s="90">
        <v>97.3</v>
      </c>
      <c r="I178" s="379"/>
      <c r="J178" s="379">
        <f t="shared" si="7"/>
        <v>17.375</v>
      </c>
    </row>
    <row r="179" spans="1:10" s="130" customFormat="1" ht="15">
      <c r="A179" s="358" t="s">
        <v>1597</v>
      </c>
      <c r="B179" s="85" t="s">
        <v>1598</v>
      </c>
      <c r="C179" s="85" t="s">
        <v>1764</v>
      </c>
      <c r="D179" s="85" t="s">
        <v>907</v>
      </c>
      <c r="E179" s="85" t="s">
        <v>436</v>
      </c>
      <c r="F179" s="90">
        <v>560</v>
      </c>
      <c r="G179" s="90"/>
      <c r="H179" s="243"/>
      <c r="I179" s="379">
        <f t="shared" si="6"/>
        <v>0</v>
      </c>
      <c r="J179" s="379"/>
    </row>
    <row r="180" spans="1:10" s="130" customFormat="1" ht="15.75" hidden="1">
      <c r="A180" s="87" t="s">
        <v>661</v>
      </c>
      <c r="B180" s="85" t="s">
        <v>1598</v>
      </c>
      <c r="C180" s="85" t="s">
        <v>1764</v>
      </c>
      <c r="D180" s="85" t="s">
        <v>908</v>
      </c>
      <c r="E180" s="85"/>
      <c r="F180" s="243">
        <f>F181</f>
        <v>0</v>
      </c>
      <c r="G180" s="243">
        <f>G181</f>
        <v>0</v>
      </c>
      <c r="H180" s="248"/>
      <c r="I180" s="379" t="e">
        <f t="shared" si="6"/>
        <v>#DIV/0!</v>
      </c>
      <c r="J180" s="379" t="e">
        <f t="shared" si="7"/>
        <v>#DIV/0!</v>
      </c>
    </row>
    <row r="181" spans="1:10" s="130" customFormat="1" ht="15.75" hidden="1">
      <c r="A181" s="87" t="s">
        <v>1758</v>
      </c>
      <c r="B181" s="85" t="s">
        <v>1598</v>
      </c>
      <c r="C181" s="85" t="s">
        <v>1764</v>
      </c>
      <c r="D181" s="85" t="s">
        <v>908</v>
      </c>
      <c r="E181" s="85" t="s">
        <v>1878</v>
      </c>
      <c r="F181" s="90"/>
      <c r="G181" s="90"/>
      <c r="H181" s="243"/>
      <c r="I181" s="379" t="e">
        <f t="shared" si="6"/>
        <v>#DIV/0!</v>
      </c>
      <c r="J181" s="379" t="e">
        <f t="shared" si="7"/>
        <v>#DIV/0!</v>
      </c>
    </row>
    <row r="182" spans="1:10" s="130" customFormat="1" ht="15">
      <c r="A182" s="86" t="s">
        <v>909</v>
      </c>
      <c r="B182" s="85" t="s">
        <v>1598</v>
      </c>
      <c r="C182" s="85" t="s">
        <v>1764</v>
      </c>
      <c r="D182" s="85" t="s">
        <v>910</v>
      </c>
      <c r="E182" s="85"/>
      <c r="F182" s="243">
        <f>F183+F185</f>
        <v>1300</v>
      </c>
      <c r="G182" s="243">
        <f>G183+G185</f>
        <v>5300</v>
      </c>
      <c r="H182" s="243">
        <f>H183+H185</f>
        <v>3216.3999999999996</v>
      </c>
      <c r="I182" s="421" t="s">
        <v>1212</v>
      </c>
      <c r="J182" s="379">
        <f t="shared" si="7"/>
        <v>60.68679245283018</v>
      </c>
    </row>
    <row r="183" spans="1:10" s="130" customFormat="1" ht="24.75" hidden="1">
      <c r="A183" s="350" t="s">
        <v>911</v>
      </c>
      <c r="B183" s="85" t="s">
        <v>1598</v>
      </c>
      <c r="C183" s="85" t="s">
        <v>1764</v>
      </c>
      <c r="D183" s="85" t="s">
        <v>912</v>
      </c>
      <c r="E183" s="85" t="s">
        <v>1071</v>
      </c>
      <c r="F183" s="243">
        <f>F184</f>
        <v>0</v>
      </c>
      <c r="G183" s="243">
        <f>G184</f>
        <v>0</v>
      </c>
      <c r="H183" s="243">
        <f>H184</f>
        <v>0</v>
      </c>
      <c r="I183" s="379"/>
      <c r="J183" s="379" t="e">
        <f t="shared" si="7"/>
        <v>#DIV/0!</v>
      </c>
    </row>
    <row r="184" spans="1:10" s="130" customFormat="1" ht="15.75" hidden="1">
      <c r="A184" s="351" t="s">
        <v>171</v>
      </c>
      <c r="B184" s="85" t="s">
        <v>1598</v>
      </c>
      <c r="C184" s="85" t="s">
        <v>1764</v>
      </c>
      <c r="D184" s="85" t="s">
        <v>912</v>
      </c>
      <c r="E184" s="85" t="s">
        <v>436</v>
      </c>
      <c r="F184" s="90"/>
      <c r="G184" s="90"/>
      <c r="H184" s="90"/>
      <c r="I184" s="379"/>
      <c r="J184" s="379" t="e">
        <f t="shared" si="7"/>
        <v>#DIV/0!</v>
      </c>
    </row>
    <row r="185" spans="1:10" s="130" customFormat="1" ht="24">
      <c r="A185" s="95" t="s">
        <v>740</v>
      </c>
      <c r="B185" s="85" t="s">
        <v>1598</v>
      </c>
      <c r="C185" s="85" t="s">
        <v>1764</v>
      </c>
      <c r="D185" s="85" t="s">
        <v>741</v>
      </c>
      <c r="E185" s="85" t="s">
        <v>1071</v>
      </c>
      <c r="F185" s="243">
        <f>F186+F187+F188</f>
        <v>1300</v>
      </c>
      <c r="G185" s="243">
        <f>G186+G187+G188</f>
        <v>5300</v>
      </c>
      <c r="H185" s="243">
        <f>H186+H187+H188</f>
        <v>3216.3999999999996</v>
      </c>
      <c r="I185" s="421" t="s">
        <v>1212</v>
      </c>
      <c r="J185" s="379">
        <f t="shared" si="7"/>
        <v>60.68679245283018</v>
      </c>
    </row>
    <row r="186" spans="1:10" s="130" customFormat="1" ht="15">
      <c r="A186" s="87" t="s">
        <v>1836</v>
      </c>
      <c r="B186" s="85" t="s">
        <v>1598</v>
      </c>
      <c r="C186" s="85" t="s">
        <v>1764</v>
      </c>
      <c r="D186" s="85" t="s">
        <v>741</v>
      </c>
      <c r="E186" s="85" t="s">
        <v>1837</v>
      </c>
      <c r="F186" s="90"/>
      <c r="G186" s="90">
        <f>2000+2000+300</f>
        <v>4300</v>
      </c>
      <c r="H186" s="248">
        <v>2289.7</v>
      </c>
      <c r="I186" s="379"/>
      <c r="J186" s="379">
        <f t="shared" si="7"/>
        <v>53.24883720930232</v>
      </c>
    </row>
    <row r="187" spans="1:10" s="130" customFormat="1" ht="15.75" hidden="1">
      <c r="A187" s="95" t="s">
        <v>938</v>
      </c>
      <c r="B187" s="85" t="s">
        <v>1598</v>
      </c>
      <c r="C187" s="85" t="s">
        <v>1764</v>
      </c>
      <c r="D187" s="85" t="s">
        <v>741</v>
      </c>
      <c r="E187" s="85" t="s">
        <v>742</v>
      </c>
      <c r="F187" s="90"/>
      <c r="G187" s="90"/>
      <c r="H187" s="245"/>
      <c r="I187" s="379"/>
      <c r="J187" s="379"/>
    </row>
    <row r="188" spans="1:10" s="130" customFormat="1" ht="23.25" customHeight="1">
      <c r="A188" s="87" t="s">
        <v>171</v>
      </c>
      <c r="B188" s="85" t="s">
        <v>1598</v>
      </c>
      <c r="C188" s="85" t="s">
        <v>1764</v>
      </c>
      <c r="D188" s="85" t="s">
        <v>741</v>
      </c>
      <c r="E188" s="85" t="s">
        <v>436</v>
      </c>
      <c r="F188" s="90">
        <v>1300</v>
      </c>
      <c r="G188" s="90">
        <f>1300-300</f>
        <v>1000</v>
      </c>
      <c r="H188" s="90">
        <v>926.7</v>
      </c>
      <c r="I188" s="379">
        <f t="shared" si="6"/>
        <v>71.28461538461539</v>
      </c>
      <c r="J188" s="379">
        <f t="shared" si="7"/>
        <v>92.67</v>
      </c>
    </row>
    <row r="189" spans="1:10" s="130" customFormat="1" ht="15.75">
      <c r="A189" s="175" t="s">
        <v>915</v>
      </c>
      <c r="B189" s="103" t="s">
        <v>1603</v>
      </c>
      <c r="C189" s="103"/>
      <c r="D189" s="102"/>
      <c r="E189" s="102"/>
      <c r="F189" s="242">
        <f>F190+F193+F199++F213+F234+F254</f>
        <v>265167</v>
      </c>
      <c r="G189" s="242">
        <f>G190+G193+G199++G213+G234+G254</f>
        <v>323910.8</v>
      </c>
      <c r="H189" s="242">
        <f>H190+H193+H199++H213+H234+H254</f>
        <v>281020.4</v>
      </c>
      <c r="I189" s="420">
        <f t="shared" si="6"/>
        <v>105.97864741841934</v>
      </c>
      <c r="J189" s="420">
        <f t="shared" si="7"/>
        <v>86.7585767439678</v>
      </c>
    </row>
    <row r="190" spans="1:10" s="130" customFormat="1" ht="15.75" hidden="1">
      <c r="A190" s="91" t="s">
        <v>602</v>
      </c>
      <c r="B190" s="174" t="s">
        <v>1603</v>
      </c>
      <c r="C190" s="174" t="s">
        <v>172</v>
      </c>
      <c r="D190" s="174"/>
      <c r="E190" s="174"/>
      <c r="F190" s="246">
        <f aca="true" t="shared" si="9" ref="F190:H191">F191</f>
        <v>0</v>
      </c>
      <c r="G190" s="246">
        <f t="shared" si="9"/>
        <v>0</v>
      </c>
      <c r="H190" s="246">
        <f t="shared" si="9"/>
        <v>0</v>
      </c>
      <c r="I190" s="379" t="e">
        <f t="shared" si="6"/>
        <v>#DIV/0!</v>
      </c>
      <c r="J190" s="379" t="e">
        <f t="shared" si="7"/>
        <v>#DIV/0!</v>
      </c>
    </row>
    <row r="191" spans="1:10" s="130" customFormat="1" ht="15.75" hidden="1">
      <c r="A191" s="86" t="s">
        <v>916</v>
      </c>
      <c r="B191" s="174" t="s">
        <v>1603</v>
      </c>
      <c r="C191" s="174" t="s">
        <v>172</v>
      </c>
      <c r="D191" s="102" t="s">
        <v>917</v>
      </c>
      <c r="E191" s="102"/>
      <c r="F191" s="246">
        <f t="shared" si="9"/>
        <v>0</v>
      </c>
      <c r="G191" s="246">
        <f t="shared" si="9"/>
        <v>0</v>
      </c>
      <c r="H191" s="246">
        <f t="shared" si="9"/>
        <v>0</v>
      </c>
      <c r="I191" s="379" t="e">
        <f t="shared" si="6"/>
        <v>#DIV/0!</v>
      </c>
      <c r="J191" s="379" t="e">
        <f t="shared" si="7"/>
        <v>#DIV/0!</v>
      </c>
    </row>
    <row r="192" spans="1:10" s="130" customFormat="1" ht="24.75" customHeight="1" hidden="1">
      <c r="A192" s="92" t="s">
        <v>918</v>
      </c>
      <c r="B192" s="174" t="s">
        <v>1603</v>
      </c>
      <c r="C192" s="174" t="s">
        <v>172</v>
      </c>
      <c r="D192" s="102" t="s">
        <v>917</v>
      </c>
      <c r="E192" s="102" t="s">
        <v>919</v>
      </c>
      <c r="F192" s="247"/>
      <c r="G192" s="247"/>
      <c r="H192" s="247"/>
      <c r="I192" s="379" t="e">
        <f t="shared" si="6"/>
        <v>#DIV/0!</v>
      </c>
      <c r="J192" s="379" t="e">
        <f t="shared" si="7"/>
        <v>#DIV/0!</v>
      </c>
    </row>
    <row r="193" spans="1:10" s="130" customFormat="1" ht="15">
      <c r="A193" s="106" t="s">
        <v>606</v>
      </c>
      <c r="B193" s="174" t="s">
        <v>1603</v>
      </c>
      <c r="C193" s="174" t="s">
        <v>584</v>
      </c>
      <c r="D193" s="102"/>
      <c r="E193" s="102"/>
      <c r="F193" s="243">
        <f aca="true" t="shared" si="10" ref="F193:H194">F194</f>
        <v>1000</v>
      </c>
      <c r="G193" s="243">
        <f t="shared" si="10"/>
        <v>1000</v>
      </c>
      <c r="H193" s="243">
        <f t="shared" si="10"/>
        <v>1000</v>
      </c>
      <c r="I193" s="379">
        <f t="shared" si="6"/>
        <v>100</v>
      </c>
      <c r="J193" s="379">
        <f t="shared" si="7"/>
        <v>100</v>
      </c>
    </row>
    <row r="194" spans="1:10" s="130" customFormat="1" ht="20.25" customHeight="1">
      <c r="A194" s="86" t="s">
        <v>920</v>
      </c>
      <c r="B194" s="174" t="s">
        <v>1603</v>
      </c>
      <c r="C194" s="174" t="s">
        <v>584</v>
      </c>
      <c r="D194" s="102" t="s">
        <v>921</v>
      </c>
      <c r="E194" s="102"/>
      <c r="F194" s="243">
        <f t="shared" si="10"/>
        <v>1000</v>
      </c>
      <c r="G194" s="243">
        <f t="shared" si="10"/>
        <v>1000</v>
      </c>
      <c r="H194" s="243">
        <f t="shared" si="10"/>
        <v>1000</v>
      </c>
      <c r="I194" s="379">
        <f t="shared" si="6"/>
        <v>100</v>
      </c>
      <c r="J194" s="379">
        <f t="shared" si="7"/>
        <v>100</v>
      </c>
    </row>
    <row r="195" spans="1:10" s="130" customFormat="1" ht="17.25" customHeight="1">
      <c r="A195" s="92" t="s">
        <v>922</v>
      </c>
      <c r="B195" s="174" t="s">
        <v>1603</v>
      </c>
      <c r="C195" s="174" t="s">
        <v>584</v>
      </c>
      <c r="D195" s="102" t="s">
        <v>923</v>
      </c>
      <c r="E195" s="102" t="s">
        <v>1071</v>
      </c>
      <c r="F195" s="252">
        <f>F196+F197</f>
        <v>1000</v>
      </c>
      <c r="G195" s="252">
        <f>G196+G197</f>
        <v>1000</v>
      </c>
      <c r="H195" s="252">
        <f>H196+H197</f>
        <v>1000</v>
      </c>
      <c r="I195" s="379">
        <f t="shared" si="6"/>
        <v>100</v>
      </c>
      <c r="J195" s="379">
        <f t="shared" si="7"/>
        <v>100</v>
      </c>
    </row>
    <row r="196" spans="1:10" s="130" customFormat="1" ht="15.75" hidden="1">
      <c r="A196" s="92" t="s">
        <v>924</v>
      </c>
      <c r="B196" s="174" t="s">
        <v>1603</v>
      </c>
      <c r="C196" s="174" t="s">
        <v>584</v>
      </c>
      <c r="D196" s="102" t="s">
        <v>923</v>
      </c>
      <c r="E196" s="102" t="s">
        <v>1881</v>
      </c>
      <c r="F196" s="84">
        <v>0</v>
      </c>
      <c r="G196" s="84">
        <v>0</v>
      </c>
      <c r="H196" s="84"/>
      <c r="I196" s="379"/>
      <c r="J196" s="379"/>
    </row>
    <row r="197" spans="1:10" s="130" customFormat="1" ht="30" customHeight="1">
      <c r="A197" s="87" t="s">
        <v>743</v>
      </c>
      <c r="B197" s="174" t="s">
        <v>1603</v>
      </c>
      <c r="C197" s="174" t="s">
        <v>584</v>
      </c>
      <c r="D197" s="102" t="s">
        <v>923</v>
      </c>
      <c r="E197" s="102" t="s">
        <v>744</v>
      </c>
      <c r="F197" s="252">
        <f>F198</f>
        <v>1000</v>
      </c>
      <c r="G197" s="252">
        <f>G198</f>
        <v>1000</v>
      </c>
      <c r="H197" s="252">
        <f>H198</f>
        <v>1000</v>
      </c>
      <c r="I197" s="379">
        <f t="shared" si="6"/>
        <v>100</v>
      </c>
      <c r="J197" s="379">
        <f t="shared" si="7"/>
        <v>100</v>
      </c>
    </row>
    <row r="198" spans="1:10" s="130" customFormat="1" ht="15" customHeight="1">
      <c r="A198" s="87" t="s">
        <v>745</v>
      </c>
      <c r="B198" s="83" t="s">
        <v>1603</v>
      </c>
      <c r="C198" s="83" t="s">
        <v>584</v>
      </c>
      <c r="D198" s="85" t="s">
        <v>923</v>
      </c>
      <c r="E198" s="85" t="s">
        <v>746</v>
      </c>
      <c r="F198" s="84">
        <v>1000</v>
      </c>
      <c r="G198" s="84">
        <v>1000</v>
      </c>
      <c r="H198" s="90">
        <v>1000</v>
      </c>
      <c r="I198" s="379">
        <f t="shared" si="6"/>
        <v>100</v>
      </c>
      <c r="J198" s="379">
        <f t="shared" si="7"/>
        <v>100</v>
      </c>
    </row>
    <row r="199" spans="1:10" s="130" customFormat="1" ht="15" customHeight="1">
      <c r="A199" s="91" t="s">
        <v>608</v>
      </c>
      <c r="B199" s="85" t="s">
        <v>1603</v>
      </c>
      <c r="C199" s="85" t="s">
        <v>589</v>
      </c>
      <c r="D199" s="85"/>
      <c r="E199" s="85"/>
      <c r="F199" s="243">
        <f>F200+F202</f>
        <v>92458</v>
      </c>
      <c r="G199" s="243">
        <f>G200+G202</f>
        <v>93635</v>
      </c>
      <c r="H199" s="243">
        <f>H200+H202</f>
        <v>90579.5</v>
      </c>
      <c r="I199" s="379">
        <f t="shared" si="6"/>
        <v>97.96826667243505</v>
      </c>
      <c r="J199" s="379">
        <f t="shared" si="7"/>
        <v>96.73679713782239</v>
      </c>
    </row>
    <row r="200" spans="1:10" s="130" customFormat="1" ht="22.5" customHeight="1" hidden="1">
      <c r="A200" s="93" t="s">
        <v>927</v>
      </c>
      <c r="B200" s="85" t="s">
        <v>1603</v>
      </c>
      <c r="C200" s="85" t="s">
        <v>589</v>
      </c>
      <c r="D200" s="85" t="s">
        <v>928</v>
      </c>
      <c r="E200" s="85"/>
      <c r="F200" s="243">
        <f>F201</f>
        <v>0</v>
      </c>
      <c r="G200" s="243">
        <f>G201</f>
        <v>0</v>
      </c>
      <c r="H200" s="243">
        <f>H201</f>
        <v>0</v>
      </c>
      <c r="I200" s="379"/>
      <c r="J200" s="379"/>
    </row>
    <row r="201" spans="1:10" s="130" customFormat="1" ht="21" customHeight="1" hidden="1">
      <c r="A201" s="87" t="s">
        <v>929</v>
      </c>
      <c r="B201" s="85" t="s">
        <v>1603</v>
      </c>
      <c r="C201" s="85" t="s">
        <v>589</v>
      </c>
      <c r="D201" s="85" t="s">
        <v>928</v>
      </c>
      <c r="E201" s="85" t="s">
        <v>930</v>
      </c>
      <c r="F201" s="90">
        <v>0</v>
      </c>
      <c r="G201" s="90">
        <v>0</v>
      </c>
      <c r="H201" s="90"/>
      <c r="I201" s="379"/>
      <c r="J201" s="379"/>
    </row>
    <row r="202" spans="1:10" s="130" customFormat="1" ht="21" customHeight="1" hidden="1">
      <c r="A202" s="86" t="s">
        <v>931</v>
      </c>
      <c r="B202" s="85" t="s">
        <v>1603</v>
      </c>
      <c r="C202" s="85" t="s">
        <v>589</v>
      </c>
      <c r="D202" s="85" t="s">
        <v>932</v>
      </c>
      <c r="E202" s="85"/>
      <c r="F202" s="243">
        <f>F207+F203+F209</f>
        <v>92458</v>
      </c>
      <c r="G202" s="243">
        <f>G207+G203+G209</f>
        <v>93635</v>
      </c>
      <c r="H202" s="243">
        <f>H207+H203+H209</f>
        <v>90579.5</v>
      </c>
      <c r="I202" s="379"/>
      <c r="J202" s="379"/>
    </row>
    <row r="203" spans="1:10" s="130" customFormat="1" ht="23.25" customHeight="1">
      <c r="A203" s="92" t="s">
        <v>933</v>
      </c>
      <c r="B203" s="85" t="s">
        <v>1603</v>
      </c>
      <c r="C203" s="85" t="s">
        <v>589</v>
      </c>
      <c r="D203" s="85" t="s">
        <v>934</v>
      </c>
      <c r="E203" s="85" t="s">
        <v>1071</v>
      </c>
      <c r="F203" s="243">
        <f>F204+F205+F206</f>
        <v>92458</v>
      </c>
      <c r="G203" s="243">
        <f>G204+G205+G206</f>
        <v>0</v>
      </c>
      <c r="H203" s="243"/>
      <c r="I203" s="379"/>
      <c r="J203" s="379"/>
    </row>
    <row r="204" spans="1:10" s="130" customFormat="1" ht="15">
      <c r="A204" s="87" t="s">
        <v>924</v>
      </c>
      <c r="B204" s="85" t="s">
        <v>1603</v>
      </c>
      <c r="C204" s="85" t="s">
        <v>589</v>
      </c>
      <c r="D204" s="85" t="s">
        <v>934</v>
      </c>
      <c r="E204" s="85" t="s">
        <v>1881</v>
      </c>
      <c r="F204" s="90">
        <v>9000</v>
      </c>
      <c r="G204" s="90">
        <v>0</v>
      </c>
      <c r="H204" s="243"/>
      <c r="I204" s="379"/>
      <c r="J204" s="379"/>
    </row>
    <row r="205" spans="1:10" s="130" customFormat="1" ht="19.5" customHeight="1">
      <c r="A205" s="87" t="s">
        <v>540</v>
      </c>
      <c r="B205" s="85" t="s">
        <v>1603</v>
      </c>
      <c r="C205" s="85" t="s">
        <v>589</v>
      </c>
      <c r="D205" s="85" t="s">
        <v>934</v>
      </c>
      <c r="E205" s="85" t="s">
        <v>541</v>
      </c>
      <c r="F205" s="90">
        <v>83458</v>
      </c>
      <c r="G205" s="90">
        <f>55615+229+229+27385-83458</f>
        <v>0</v>
      </c>
      <c r="H205" s="243"/>
      <c r="I205" s="379"/>
      <c r="J205" s="379"/>
    </row>
    <row r="206" spans="1:10" s="130" customFormat="1" ht="32.25" customHeight="1" hidden="1">
      <c r="A206" s="87" t="s">
        <v>185</v>
      </c>
      <c r="B206" s="85" t="s">
        <v>1603</v>
      </c>
      <c r="C206" s="85" t="s">
        <v>589</v>
      </c>
      <c r="D206" s="85" t="s">
        <v>934</v>
      </c>
      <c r="E206" s="85" t="s">
        <v>186</v>
      </c>
      <c r="F206" s="90">
        <f>9000-9000</f>
        <v>0</v>
      </c>
      <c r="G206" s="90">
        <f>9000-9000</f>
        <v>0</v>
      </c>
      <c r="H206" s="90"/>
      <c r="I206" s="379" t="e">
        <f>H206/F206*100</f>
        <v>#DIV/0!</v>
      </c>
      <c r="J206" s="379" t="e">
        <f aca="true" t="shared" si="11" ref="J206:J269">H206/G206*100</f>
        <v>#DIV/0!</v>
      </c>
    </row>
    <row r="207" spans="1:10" s="136" customFormat="1" ht="27.75" customHeight="1">
      <c r="A207" s="87" t="s">
        <v>747</v>
      </c>
      <c r="B207" s="85" t="s">
        <v>1603</v>
      </c>
      <c r="C207" s="85" t="s">
        <v>589</v>
      </c>
      <c r="D207" s="85" t="s">
        <v>748</v>
      </c>
      <c r="E207" s="85" t="s">
        <v>1071</v>
      </c>
      <c r="F207" s="243">
        <f>F208</f>
        <v>0</v>
      </c>
      <c r="G207" s="243">
        <f>G208</f>
        <v>1177</v>
      </c>
      <c r="H207" s="243">
        <f>H208</f>
        <v>1177</v>
      </c>
      <c r="I207" s="379"/>
      <c r="J207" s="379">
        <f t="shared" si="11"/>
        <v>100</v>
      </c>
    </row>
    <row r="208" spans="1:10" s="130" customFormat="1" ht="23.25" customHeight="1">
      <c r="A208" s="87" t="s">
        <v>749</v>
      </c>
      <c r="B208" s="85" t="s">
        <v>1603</v>
      </c>
      <c r="C208" s="85" t="s">
        <v>589</v>
      </c>
      <c r="D208" s="85" t="s">
        <v>748</v>
      </c>
      <c r="E208" s="85" t="s">
        <v>750</v>
      </c>
      <c r="F208" s="90"/>
      <c r="G208" s="90">
        <v>1177</v>
      </c>
      <c r="H208" s="90">
        <v>1177</v>
      </c>
      <c r="I208" s="379"/>
      <c r="J208" s="379">
        <f t="shared" si="11"/>
        <v>100</v>
      </c>
    </row>
    <row r="209" spans="1:10" s="130" customFormat="1" ht="21" customHeight="1">
      <c r="A209" s="87" t="s">
        <v>751</v>
      </c>
      <c r="B209" s="85" t="s">
        <v>1603</v>
      </c>
      <c r="C209" s="85" t="s">
        <v>589</v>
      </c>
      <c r="D209" s="85" t="s">
        <v>752</v>
      </c>
      <c r="E209" s="85" t="s">
        <v>1071</v>
      </c>
      <c r="F209" s="243">
        <f>F210+F211+F212</f>
        <v>0</v>
      </c>
      <c r="G209" s="243">
        <f>G210+G211+G212</f>
        <v>92458</v>
      </c>
      <c r="H209" s="243">
        <f>H210+H211+H212</f>
        <v>89402.5</v>
      </c>
      <c r="I209" s="379"/>
      <c r="J209" s="379">
        <f t="shared" si="11"/>
        <v>96.69525622444786</v>
      </c>
    </row>
    <row r="210" spans="1:10" s="130" customFormat="1" ht="15">
      <c r="A210" s="87" t="s">
        <v>1836</v>
      </c>
      <c r="B210" s="85" t="s">
        <v>1603</v>
      </c>
      <c r="C210" s="85" t="s">
        <v>589</v>
      </c>
      <c r="D210" s="85" t="s">
        <v>752</v>
      </c>
      <c r="E210" s="85" t="s">
        <v>1837</v>
      </c>
      <c r="F210" s="90"/>
      <c r="G210" s="90">
        <v>83229</v>
      </c>
      <c r="H210" s="90">
        <v>83229</v>
      </c>
      <c r="I210" s="379"/>
      <c r="J210" s="379">
        <f t="shared" si="11"/>
        <v>100</v>
      </c>
    </row>
    <row r="211" spans="1:10" s="130" customFormat="1" ht="15">
      <c r="A211" s="87" t="s">
        <v>749</v>
      </c>
      <c r="B211" s="85" t="s">
        <v>1603</v>
      </c>
      <c r="C211" s="85" t="s">
        <v>589</v>
      </c>
      <c r="D211" s="85" t="s">
        <v>752</v>
      </c>
      <c r="E211" s="85" t="s">
        <v>750</v>
      </c>
      <c r="F211" s="90"/>
      <c r="G211" s="90">
        <f>1177+229-1177</f>
        <v>229</v>
      </c>
      <c r="H211" s="90">
        <v>229</v>
      </c>
      <c r="I211" s="379"/>
      <c r="J211" s="379">
        <f t="shared" si="11"/>
        <v>100</v>
      </c>
    </row>
    <row r="212" spans="1:10" s="130" customFormat="1" ht="24">
      <c r="A212" s="92" t="s">
        <v>185</v>
      </c>
      <c r="B212" s="85" t="s">
        <v>1603</v>
      </c>
      <c r="C212" s="85" t="s">
        <v>589</v>
      </c>
      <c r="D212" s="85" t="s">
        <v>752</v>
      </c>
      <c r="E212" s="85" t="s">
        <v>186</v>
      </c>
      <c r="F212" s="90"/>
      <c r="G212" s="90">
        <v>9000</v>
      </c>
      <c r="H212" s="90">
        <v>5944.5</v>
      </c>
      <c r="I212" s="379"/>
      <c r="J212" s="379">
        <f t="shared" si="11"/>
        <v>66.05</v>
      </c>
    </row>
    <row r="213" spans="1:10" s="130" customFormat="1" ht="15">
      <c r="A213" s="106" t="s">
        <v>609</v>
      </c>
      <c r="B213" s="85" t="s">
        <v>1603</v>
      </c>
      <c r="C213" s="85" t="s">
        <v>1788</v>
      </c>
      <c r="D213" s="85"/>
      <c r="E213" s="85"/>
      <c r="F213" s="243">
        <f>F214+F217+F228</f>
        <v>157365</v>
      </c>
      <c r="G213" s="243">
        <f>G214+G217+G228</f>
        <v>197340.3</v>
      </c>
      <c r="H213" s="243">
        <f>H214+H217+H228</f>
        <v>159216.2</v>
      </c>
      <c r="I213" s="379">
        <f aca="true" t="shared" si="12" ref="I213:I218">H213/F213*100</f>
        <v>101.17637339942173</v>
      </c>
      <c r="J213" s="379">
        <f t="shared" si="11"/>
        <v>80.68103676745197</v>
      </c>
    </row>
    <row r="214" spans="1:10" s="134" customFormat="1" ht="18.75" customHeight="1" hidden="1">
      <c r="A214" s="108" t="s">
        <v>935</v>
      </c>
      <c r="B214" s="85" t="s">
        <v>1603</v>
      </c>
      <c r="C214" s="85" t="s">
        <v>1788</v>
      </c>
      <c r="D214" s="85" t="s">
        <v>936</v>
      </c>
      <c r="E214" s="85"/>
      <c r="F214" s="243">
        <f aca="true" t="shared" si="13" ref="F214:H215">F215</f>
        <v>0</v>
      </c>
      <c r="G214" s="243">
        <f t="shared" si="13"/>
        <v>0</v>
      </c>
      <c r="H214" s="243">
        <f t="shared" si="13"/>
        <v>0</v>
      </c>
      <c r="I214" s="379" t="e">
        <f t="shared" si="12"/>
        <v>#DIV/0!</v>
      </c>
      <c r="J214" s="379" t="e">
        <f t="shared" si="11"/>
        <v>#DIV/0!</v>
      </c>
    </row>
    <row r="215" spans="1:10" s="130" customFormat="1" ht="24.75" hidden="1">
      <c r="A215" s="108" t="s">
        <v>937</v>
      </c>
      <c r="B215" s="85" t="s">
        <v>1603</v>
      </c>
      <c r="C215" s="85" t="s">
        <v>1788</v>
      </c>
      <c r="D215" s="85" t="s">
        <v>1049</v>
      </c>
      <c r="E215" s="85" t="s">
        <v>1071</v>
      </c>
      <c r="F215" s="243">
        <f t="shared" si="13"/>
        <v>0</v>
      </c>
      <c r="G215" s="243">
        <f t="shared" si="13"/>
        <v>0</v>
      </c>
      <c r="H215" s="243">
        <f t="shared" si="13"/>
        <v>0</v>
      </c>
      <c r="I215" s="379" t="e">
        <f t="shared" si="12"/>
        <v>#DIV/0!</v>
      </c>
      <c r="J215" s="379" t="e">
        <f t="shared" si="11"/>
        <v>#DIV/0!</v>
      </c>
    </row>
    <row r="216" spans="1:10" s="130" customFormat="1" ht="15.75" hidden="1">
      <c r="A216" s="108" t="s">
        <v>938</v>
      </c>
      <c r="B216" s="85" t="s">
        <v>1603</v>
      </c>
      <c r="C216" s="85" t="s">
        <v>1788</v>
      </c>
      <c r="D216" s="85" t="s">
        <v>1049</v>
      </c>
      <c r="E216" s="85" t="s">
        <v>1879</v>
      </c>
      <c r="F216" s="90"/>
      <c r="G216" s="90"/>
      <c r="H216" s="90"/>
      <c r="I216" s="379" t="e">
        <f t="shared" si="12"/>
        <v>#DIV/0!</v>
      </c>
      <c r="J216" s="379" t="e">
        <f t="shared" si="11"/>
        <v>#DIV/0!</v>
      </c>
    </row>
    <row r="217" spans="1:10" s="130" customFormat="1" ht="15">
      <c r="A217" s="86" t="s">
        <v>927</v>
      </c>
      <c r="B217" s="85" t="s">
        <v>1603</v>
      </c>
      <c r="C217" s="85" t="s">
        <v>1788</v>
      </c>
      <c r="D217" s="85" t="s">
        <v>928</v>
      </c>
      <c r="E217" s="85"/>
      <c r="F217" s="243">
        <f>F223+F218</f>
        <v>157365</v>
      </c>
      <c r="G217" s="243">
        <f>G223+G218</f>
        <v>184336.09999999998</v>
      </c>
      <c r="H217" s="243">
        <f>H223+H218</f>
        <v>150086.2</v>
      </c>
      <c r="I217" s="379">
        <f t="shared" si="12"/>
        <v>95.3745750325676</v>
      </c>
      <c r="J217" s="379">
        <f t="shared" si="11"/>
        <v>81.41986295684895</v>
      </c>
    </row>
    <row r="218" spans="1:10" s="130" customFormat="1" ht="15">
      <c r="A218" s="92" t="s">
        <v>939</v>
      </c>
      <c r="B218" s="85" t="s">
        <v>1603</v>
      </c>
      <c r="C218" s="85" t="s">
        <v>1788</v>
      </c>
      <c r="D218" s="85" t="s">
        <v>940</v>
      </c>
      <c r="E218" s="85" t="s">
        <v>1071</v>
      </c>
      <c r="F218" s="243">
        <f>F219+F220+F221</f>
        <v>157365</v>
      </c>
      <c r="G218" s="243">
        <f>G219+G220+G221</f>
        <v>184336.09999999998</v>
      </c>
      <c r="H218" s="243">
        <f>H219+H220+H221</f>
        <v>150086.2</v>
      </c>
      <c r="I218" s="379">
        <f t="shared" si="12"/>
        <v>95.3745750325676</v>
      </c>
      <c r="J218" s="379">
        <f t="shared" si="11"/>
        <v>81.41986295684895</v>
      </c>
    </row>
    <row r="219" spans="1:10" s="130" customFormat="1" ht="15">
      <c r="A219" s="87" t="s">
        <v>1836</v>
      </c>
      <c r="B219" s="85" t="s">
        <v>1603</v>
      </c>
      <c r="C219" s="85" t="s">
        <v>1788</v>
      </c>
      <c r="D219" s="85" t="s">
        <v>940</v>
      </c>
      <c r="E219" s="85" t="s">
        <v>1837</v>
      </c>
      <c r="F219" s="90"/>
      <c r="G219" s="90">
        <f>5000+4500+330+4556.5+23403.1+56155.5+870+480.7</f>
        <v>95295.8</v>
      </c>
      <c r="H219" s="90">
        <v>61161</v>
      </c>
      <c r="I219" s="379"/>
      <c r="J219" s="379">
        <f t="shared" si="11"/>
        <v>64.18016323909343</v>
      </c>
    </row>
    <row r="220" spans="1:10" s="130" customFormat="1" ht="15">
      <c r="A220" s="358" t="s">
        <v>1597</v>
      </c>
      <c r="B220" s="85" t="s">
        <v>1603</v>
      </c>
      <c r="C220" s="85" t="s">
        <v>1788</v>
      </c>
      <c r="D220" s="85" t="s">
        <v>940</v>
      </c>
      <c r="E220" s="85" t="s">
        <v>436</v>
      </c>
      <c r="F220" s="90">
        <v>80000</v>
      </c>
      <c r="G220" s="90"/>
      <c r="H220" s="90"/>
      <c r="I220" s="379">
        <f aca="true" t="shared" si="14" ref="I220:I225">H220/F220*100</f>
        <v>0</v>
      </c>
      <c r="J220" s="379"/>
    </row>
    <row r="221" spans="1:10" s="130" customFormat="1" ht="15">
      <c r="A221" s="87" t="s">
        <v>743</v>
      </c>
      <c r="B221" s="85" t="s">
        <v>1603</v>
      </c>
      <c r="C221" s="85" t="s">
        <v>1788</v>
      </c>
      <c r="D221" s="85" t="s">
        <v>940</v>
      </c>
      <c r="E221" s="85" t="s">
        <v>744</v>
      </c>
      <c r="F221" s="243">
        <f>F222+F226</f>
        <v>77365</v>
      </c>
      <c r="G221" s="243">
        <f>G222+G226</f>
        <v>89040.29999999999</v>
      </c>
      <c r="H221" s="243">
        <f>H222+H226</f>
        <v>88925.2</v>
      </c>
      <c r="I221" s="379">
        <f t="shared" si="14"/>
        <v>114.94241582110773</v>
      </c>
      <c r="J221" s="379">
        <f t="shared" si="11"/>
        <v>99.87073269070298</v>
      </c>
    </row>
    <row r="222" spans="1:10" s="130" customFormat="1" ht="24">
      <c r="A222" s="87" t="s">
        <v>745</v>
      </c>
      <c r="B222" s="85" t="s">
        <v>1603</v>
      </c>
      <c r="C222" s="85" t="s">
        <v>1788</v>
      </c>
      <c r="D222" s="85" t="s">
        <v>940</v>
      </c>
      <c r="E222" s="85" t="s">
        <v>746</v>
      </c>
      <c r="F222" s="248">
        <v>77365</v>
      </c>
      <c r="G222" s="248">
        <f>77365+201.4+10944.5-243.3</f>
        <v>88267.59999999999</v>
      </c>
      <c r="H222" s="90">
        <v>88152.5</v>
      </c>
      <c r="I222" s="379">
        <f t="shared" si="14"/>
        <v>113.9436437665611</v>
      </c>
      <c r="J222" s="379">
        <f t="shared" si="11"/>
        <v>99.86960107672579</v>
      </c>
    </row>
    <row r="223" spans="1:10" s="130" customFormat="1" ht="36" hidden="1">
      <c r="A223" s="92" t="s">
        <v>1846</v>
      </c>
      <c r="B223" s="85" t="s">
        <v>1603</v>
      </c>
      <c r="C223" s="85" t="s">
        <v>1788</v>
      </c>
      <c r="D223" s="85" t="s">
        <v>1847</v>
      </c>
      <c r="E223" s="85"/>
      <c r="F223" s="243">
        <f>F225+F224</f>
        <v>0</v>
      </c>
      <c r="G223" s="243">
        <f>G225+G224</f>
        <v>0</v>
      </c>
      <c r="H223" s="243"/>
      <c r="I223" s="379" t="e">
        <f t="shared" si="14"/>
        <v>#DIV/0!</v>
      </c>
      <c r="J223" s="379" t="e">
        <f t="shared" si="11"/>
        <v>#DIV/0!</v>
      </c>
    </row>
    <row r="224" spans="1:10" s="130" customFormat="1" ht="15.75" hidden="1">
      <c r="A224" s="92" t="s">
        <v>171</v>
      </c>
      <c r="B224" s="85" t="s">
        <v>1603</v>
      </c>
      <c r="C224" s="85" t="s">
        <v>1788</v>
      </c>
      <c r="D224" s="85" t="s">
        <v>1847</v>
      </c>
      <c r="E224" s="85" t="s">
        <v>436</v>
      </c>
      <c r="F224" s="248"/>
      <c r="G224" s="248"/>
      <c r="H224" s="90"/>
      <c r="I224" s="379" t="e">
        <f t="shared" si="14"/>
        <v>#DIV/0!</v>
      </c>
      <c r="J224" s="379" t="e">
        <f t="shared" si="11"/>
        <v>#DIV/0!</v>
      </c>
    </row>
    <row r="225" spans="1:10" s="130" customFormat="1" ht="24" hidden="1">
      <c r="A225" s="87" t="s">
        <v>1848</v>
      </c>
      <c r="B225" s="85" t="s">
        <v>1603</v>
      </c>
      <c r="C225" s="85" t="s">
        <v>1788</v>
      </c>
      <c r="D225" s="85" t="s">
        <v>1849</v>
      </c>
      <c r="E225" s="85" t="s">
        <v>930</v>
      </c>
      <c r="F225" s="90"/>
      <c r="G225" s="90"/>
      <c r="H225" s="243"/>
      <c r="I225" s="379" t="e">
        <f t="shared" si="14"/>
        <v>#DIV/0!</v>
      </c>
      <c r="J225" s="379" t="e">
        <f t="shared" si="11"/>
        <v>#DIV/0!</v>
      </c>
    </row>
    <row r="226" spans="1:10" s="130" customFormat="1" ht="24">
      <c r="A226" s="87" t="s">
        <v>753</v>
      </c>
      <c r="B226" s="85" t="s">
        <v>1603</v>
      </c>
      <c r="C226" s="85" t="s">
        <v>1788</v>
      </c>
      <c r="D226" s="85" t="s">
        <v>754</v>
      </c>
      <c r="E226" s="85" t="s">
        <v>1071</v>
      </c>
      <c r="F226" s="243">
        <f>F227</f>
        <v>0</v>
      </c>
      <c r="G226" s="243">
        <f>G227</f>
        <v>772.7</v>
      </c>
      <c r="H226" s="243">
        <f>H227</f>
        <v>772.7</v>
      </c>
      <c r="I226" s="379"/>
      <c r="J226" s="379">
        <f t="shared" si="11"/>
        <v>100</v>
      </c>
    </row>
    <row r="227" spans="1:10" s="130" customFormat="1" ht="15">
      <c r="A227" s="87" t="s">
        <v>1636</v>
      </c>
      <c r="B227" s="85" t="s">
        <v>1603</v>
      </c>
      <c r="C227" s="85" t="s">
        <v>1788</v>
      </c>
      <c r="D227" s="85" t="s">
        <v>754</v>
      </c>
      <c r="E227" s="85" t="s">
        <v>1637</v>
      </c>
      <c r="F227" s="90"/>
      <c r="G227" s="90">
        <v>772.7</v>
      </c>
      <c r="H227" s="90">
        <v>772.7</v>
      </c>
      <c r="I227" s="379"/>
      <c r="J227" s="379">
        <f t="shared" si="11"/>
        <v>100</v>
      </c>
    </row>
    <row r="228" spans="1:10" s="130" customFormat="1" ht="15">
      <c r="A228" s="107" t="s">
        <v>909</v>
      </c>
      <c r="B228" s="85" t="s">
        <v>1603</v>
      </c>
      <c r="C228" s="85" t="s">
        <v>1788</v>
      </c>
      <c r="D228" s="85" t="s">
        <v>910</v>
      </c>
      <c r="E228" s="85"/>
      <c r="F228" s="243">
        <f>F229+F232</f>
        <v>0</v>
      </c>
      <c r="G228" s="243">
        <f>G229+G232</f>
        <v>13004.2</v>
      </c>
      <c r="H228" s="243">
        <f>H229+H232</f>
        <v>9130</v>
      </c>
      <c r="I228" s="379"/>
      <c r="J228" s="379">
        <f t="shared" si="11"/>
        <v>70.2080866181695</v>
      </c>
    </row>
    <row r="229" spans="1:10" s="130" customFormat="1" ht="27" customHeight="1">
      <c r="A229" s="95" t="s">
        <v>1638</v>
      </c>
      <c r="B229" s="85" t="s">
        <v>1603</v>
      </c>
      <c r="C229" s="85" t="s">
        <v>1788</v>
      </c>
      <c r="D229" s="85" t="s">
        <v>1639</v>
      </c>
      <c r="E229" s="85" t="s">
        <v>1071</v>
      </c>
      <c r="F229" s="243">
        <f>F231+F230</f>
        <v>0</v>
      </c>
      <c r="G229" s="243">
        <f>G231+G230</f>
        <v>13004.2</v>
      </c>
      <c r="H229" s="243">
        <f>H231+H230</f>
        <v>9130</v>
      </c>
      <c r="I229" s="379"/>
      <c r="J229" s="379">
        <f t="shared" si="11"/>
        <v>70.2080866181695</v>
      </c>
    </row>
    <row r="230" spans="1:10" s="130" customFormat="1" ht="29.25" customHeight="1">
      <c r="A230" s="87" t="s">
        <v>1836</v>
      </c>
      <c r="B230" s="85" t="s">
        <v>1603</v>
      </c>
      <c r="C230" s="85" t="s">
        <v>1788</v>
      </c>
      <c r="D230" s="85" t="s">
        <v>1639</v>
      </c>
      <c r="E230" s="85" t="s">
        <v>1837</v>
      </c>
      <c r="F230" s="248"/>
      <c r="G230" s="248">
        <f>12900+974.2-870</f>
        <v>13004.2</v>
      </c>
      <c r="H230" s="90">
        <v>9130</v>
      </c>
      <c r="I230" s="379"/>
      <c r="J230" s="379">
        <f t="shared" si="11"/>
        <v>70.2080866181695</v>
      </c>
    </row>
    <row r="231" spans="1:10" s="130" customFormat="1" ht="24" customHeight="1" hidden="1">
      <c r="A231" s="95"/>
      <c r="B231" s="85" t="s">
        <v>1603</v>
      </c>
      <c r="C231" s="85" t="s">
        <v>1788</v>
      </c>
      <c r="D231" s="85" t="s">
        <v>1639</v>
      </c>
      <c r="E231" s="85" t="s">
        <v>930</v>
      </c>
      <c r="F231" s="90"/>
      <c r="G231" s="90"/>
      <c r="H231" s="243"/>
      <c r="I231" s="379" t="e">
        <f aca="true" t="shared" si="15" ref="I231:I237">H231/F231*100</f>
        <v>#DIV/0!</v>
      </c>
      <c r="J231" s="379" t="e">
        <f t="shared" si="11"/>
        <v>#DIV/0!</v>
      </c>
    </row>
    <row r="232" spans="1:10" s="130" customFormat="1" ht="16.5" customHeight="1" hidden="1">
      <c r="A232" s="95"/>
      <c r="B232" s="85" t="s">
        <v>1603</v>
      </c>
      <c r="C232" s="85" t="s">
        <v>1788</v>
      </c>
      <c r="D232" s="85" t="s">
        <v>1639</v>
      </c>
      <c r="E232" s="85" t="s">
        <v>1071</v>
      </c>
      <c r="F232" s="243">
        <f>F233</f>
        <v>0</v>
      </c>
      <c r="G232" s="243">
        <f>G233</f>
        <v>0</v>
      </c>
      <c r="H232" s="243"/>
      <c r="I232" s="379" t="e">
        <f t="shared" si="15"/>
        <v>#DIV/0!</v>
      </c>
      <c r="J232" s="379" t="e">
        <f t="shared" si="11"/>
        <v>#DIV/0!</v>
      </c>
    </row>
    <row r="233" spans="1:10" s="130" customFormat="1" ht="22.5" customHeight="1" hidden="1">
      <c r="A233" s="87"/>
      <c r="B233" s="85" t="s">
        <v>1603</v>
      </c>
      <c r="C233" s="85" t="s">
        <v>1788</v>
      </c>
      <c r="D233" s="85" t="s">
        <v>1639</v>
      </c>
      <c r="E233" s="85" t="s">
        <v>1881</v>
      </c>
      <c r="F233" s="90"/>
      <c r="G233" s="90"/>
      <c r="H233" s="243"/>
      <c r="I233" s="379" t="e">
        <f t="shared" si="15"/>
        <v>#DIV/0!</v>
      </c>
      <c r="J233" s="379" t="e">
        <f t="shared" si="11"/>
        <v>#DIV/0!</v>
      </c>
    </row>
    <row r="234" spans="1:10" s="130" customFormat="1" ht="15">
      <c r="A234" s="91" t="s">
        <v>611</v>
      </c>
      <c r="B234" s="85" t="s">
        <v>1603</v>
      </c>
      <c r="C234" s="85" t="s">
        <v>1795</v>
      </c>
      <c r="D234" s="85"/>
      <c r="E234" s="85"/>
      <c r="F234" s="243">
        <f>F235+F244+F251</f>
        <v>11700</v>
      </c>
      <c r="G234" s="243">
        <f>G235+G244+G251</f>
        <v>18399.1</v>
      </c>
      <c r="H234" s="243">
        <f>H235+H244+H251</f>
        <v>17145.7</v>
      </c>
      <c r="I234" s="379">
        <f t="shared" si="15"/>
        <v>146.54444444444445</v>
      </c>
      <c r="J234" s="379">
        <f t="shared" si="11"/>
        <v>93.18771026843706</v>
      </c>
    </row>
    <row r="235" spans="1:10" s="130" customFormat="1" ht="15">
      <c r="A235" s="93" t="s">
        <v>1246</v>
      </c>
      <c r="B235" s="85" t="s">
        <v>1603</v>
      </c>
      <c r="C235" s="85" t="s">
        <v>1795</v>
      </c>
      <c r="D235" s="85" t="s">
        <v>1247</v>
      </c>
      <c r="E235" s="85"/>
      <c r="F235" s="243">
        <f>F236</f>
        <v>11700</v>
      </c>
      <c r="G235" s="243">
        <f>G236</f>
        <v>14449.1</v>
      </c>
      <c r="H235" s="243">
        <f>H236</f>
        <v>13629.5</v>
      </c>
      <c r="I235" s="379">
        <f t="shared" si="15"/>
        <v>116.49145299145299</v>
      </c>
      <c r="J235" s="379">
        <f t="shared" si="11"/>
        <v>94.32767438802416</v>
      </c>
    </row>
    <row r="236" spans="1:10" s="130" customFormat="1" ht="15">
      <c r="A236" s="87" t="s">
        <v>743</v>
      </c>
      <c r="B236" s="85" t="s">
        <v>1603</v>
      </c>
      <c r="C236" s="85" t="s">
        <v>1795</v>
      </c>
      <c r="D236" s="85" t="s">
        <v>1248</v>
      </c>
      <c r="E236" s="85" t="s">
        <v>744</v>
      </c>
      <c r="F236" s="243">
        <f>F237+F238</f>
        <v>11700</v>
      </c>
      <c r="G236" s="243">
        <f>G237+G238</f>
        <v>14449.1</v>
      </c>
      <c r="H236" s="243">
        <f>H237+H238</f>
        <v>13629.5</v>
      </c>
      <c r="I236" s="379">
        <f t="shared" si="15"/>
        <v>116.49145299145299</v>
      </c>
      <c r="J236" s="379">
        <f t="shared" si="11"/>
        <v>94.32767438802416</v>
      </c>
    </row>
    <row r="237" spans="1:10" s="130" customFormat="1" ht="24">
      <c r="A237" s="87" t="s">
        <v>745</v>
      </c>
      <c r="B237" s="85" t="s">
        <v>1603</v>
      </c>
      <c r="C237" s="85" t="s">
        <v>1795</v>
      </c>
      <c r="D237" s="85" t="s">
        <v>1248</v>
      </c>
      <c r="E237" s="85" t="s">
        <v>746</v>
      </c>
      <c r="F237" s="90">
        <v>11700</v>
      </c>
      <c r="G237" s="90">
        <f>11700+1320+889.1+345-345</f>
        <v>13909.1</v>
      </c>
      <c r="H237" s="90">
        <v>13106</v>
      </c>
      <c r="I237" s="379">
        <f t="shared" si="15"/>
        <v>112.01709401709401</v>
      </c>
      <c r="J237" s="379">
        <f t="shared" si="11"/>
        <v>94.22608220517502</v>
      </c>
    </row>
    <row r="238" spans="1:10" s="130" customFormat="1" ht="15">
      <c r="A238" s="87" t="s">
        <v>1640</v>
      </c>
      <c r="B238" s="85" t="s">
        <v>1603</v>
      </c>
      <c r="C238" s="85" t="s">
        <v>1795</v>
      </c>
      <c r="D238" s="85" t="s">
        <v>1248</v>
      </c>
      <c r="E238" s="85" t="s">
        <v>1637</v>
      </c>
      <c r="F238" s="243">
        <f>F239+F240+F241+F242</f>
        <v>0</v>
      </c>
      <c r="G238" s="243">
        <f>G239+G240+G241+G242</f>
        <v>540</v>
      </c>
      <c r="H238" s="243">
        <f>H239+H240+H241+H242</f>
        <v>523.5</v>
      </c>
      <c r="I238" s="379"/>
      <c r="J238" s="379">
        <f t="shared" si="11"/>
        <v>96.94444444444444</v>
      </c>
    </row>
    <row r="239" spans="1:10" s="130" customFormat="1" ht="15">
      <c r="A239" s="87" t="s">
        <v>1641</v>
      </c>
      <c r="B239" s="85" t="s">
        <v>1603</v>
      </c>
      <c r="C239" s="85" t="s">
        <v>1795</v>
      </c>
      <c r="D239" s="85" t="s">
        <v>1248</v>
      </c>
      <c r="E239" s="85" t="s">
        <v>1637</v>
      </c>
      <c r="F239" s="90"/>
      <c r="G239" s="90">
        <v>40</v>
      </c>
      <c r="H239" s="90">
        <v>23.5</v>
      </c>
      <c r="I239" s="379"/>
      <c r="J239" s="379">
        <f t="shared" si="11"/>
        <v>58.75</v>
      </c>
    </row>
    <row r="240" spans="1:10" s="130" customFormat="1" ht="15">
      <c r="A240" s="87" t="s">
        <v>1642</v>
      </c>
      <c r="B240" s="85" t="s">
        <v>1603</v>
      </c>
      <c r="C240" s="85" t="s">
        <v>1795</v>
      </c>
      <c r="D240" s="85" t="s">
        <v>1248</v>
      </c>
      <c r="E240" s="85" t="s">
        <v>1637</v>
      </c>
      <c r="F240" s="90"/>
      <c r="G240" s="90">
        <v>80</v>
      </c>
      <c r="H240" s="90">
        <v>80</v>
      </c>
      <c r="I240" s="379"/>
      <c r="J240" s="379">
        <f t="shared" si="11"/>
        <v>100</v>
      </c>
    </row>
    <row r="241" spans="1:10" s="130" customFormat="1" ht="24">
      <c r="A241" s="87" t="s">
        <v>1643</v>
      </c>
      <c r="B241" s="85" t="s">
        <v>1603</v>
      </c>
      <c r="C241" s="85" t="s">
        <v>1795</v>
      </c>
      <c r="D241" s="85" t="s">
        <v>1248</v>
      </c>
      <c r="E241" s="85" t="s">
        <v>1637</v>
      </c>
      <c r="F241" s="90"/>
      <c r="G241" s="90">
        <v>250</v>
      </c>
      <c r="H241" s="90">
        <v>250</v>
      </c>
      <c r="I241" s="379"/>
      <c r="J241" s="379">
        <f t="shared" si="11"/>
        <v>100</v>
      </c>
    </row>
    <row r="242" spans="1:10" s="130" customFormat="1" ht="15">
      <c r="A242" s="87" t="s">
        <v>1644</v>
      </c>
      <c r="B242" s="85" t="s">
        <v>1603</v>
      </c>
      <c r="C242" s="85" t="s">
        <v>1795</v>
      </c>
      <c r="D242" s="85" t="s">
        <v>1248</v>
      </c>
      <c r="E242" s="85" t="s">
        <v>1637</v>
      </c>
      <c r="F242" s="90"/>
      <c r="G242" s="90">
        <v>170</v>
      </c>
      <c r="H242" s="90">
        <v>170</v>
      </c>
      <c r="I242" s="379"/>
      <c r="J242" s="379">
        <f t="shared" si="11"/>
        <v>100</v>
      </c>
    </row>
    <row r="243" spans="1:10" s="130" customFormat="1" ht="36" hidden="1">
      <c r="A243" s="87" t="s">
        <v>1645</v>
      </c>
      <c r="B243" s="85" t="s">
        <v>1603</v>
      </c>
      <c r="C243" s="85" t="s">
        <v>1795</v>
      </c>
      <c r="D243" s="85" t="s">
        <v>1248</v>
      </c>
      <c r="E243" s="85" t="s">
        <v>1637</v>
      </c>
      <c r="F243" s="90">
        <f>1000-1000</f>
        <v>0</v>
      </c>
      <c r="G243" s="90">
        <f>1000-1000</f>
        <v>0</v>
      </c>
      <c r="H243" s="90"/>
      <c r="I243" s="379"/>
      <c r="J243" s="379" t="e">
        <f t="shared" si="11"/>
        <v>#DIV/0!</v>
      </c>
    </row>
    <row r="244" spans="1:10" s="130" customFormat="1" ht="60">
      <c r="A244" s="87" t="s">
        <v>1722</v>
      </c>
      <c r="B244" s="85" t="s">
        <v>1603</v>
      </c>
      <c r="C244" s="85" t="s">
        <v>1795</v>
      </c>
      <c r="D244" s="85" t="s">
        <v>1723</v>
      </c>
      <c r="E244" s="85" t="s">
        <v>1071</v>
      </c>
      <c r="F244" s="243">
        <f>F245+F247+F249</f>
        <v>0</v>
      </c>
      <c r="G244" s="243">
        <f>G245+G247+G249</f>
        <v>1580</v>
      </c>
      <c r="H244" s="243">
        <f>H245+H247+H249</f>
        <v>1406.5</v>
      </c>
      <c r="I244" s="379"/>
      <c r="J244" s="379">
        <f t="shared" si="11"/>
        <v>89.01898734177215</v>
      </c>
    </row>
    <row r="245" spans="1:10" s="130" customFormat="1" ht="24">
      <c r="A245" s="87" t="s">
        <v>1724</v>
      </c>
      <c r="B245" s="85" t="s">
        <v>1603</v>
      </c>
      <c r="C245" s="85" t="s">
        <v>1795</v>
      </c>
      <c r="D245" s="85" t="s">
        <v>879</v>
      </c>
      <c r="E245" s="85" t="s">
        <v>1071</v>
      </c>
      <c r="F245" s="243">
        <f>F246</f>
        <v>0</v>
      </c>
      <c r="G245" s="243">
        <f>G246</f>
        <v>600</v>
      </c>
      <c r="H245" s="243">
        <f>H246</f>
        <v>455.4</v>
      </c>
      <c r="I245" s="379"/>
      <c r="J245" s="379">
        <f t="shared" si="11"/>
        <v>75.9</v>
      </c>
    </row>
    <row r="246" spans="1:10" s="130" customFormat="1" ht="15">
      <c r="A246" s="87" t="s">
        <v>87</v>
      </c>
      <c r="B246" s="85" t="s">
        <v>1603</v>
      </c>
      <c r="C246" s="85" t="s">
        <v>1795</v>
      </c>
      <c r="D246" s="85" t="s">
        <v>879</v>
      </c>
      <c r="E246" s="85" t="s">
        <v>88</v>
      </c>
      <c r="F246" s="90"/>
      <c r="G246" s="90">
        <v>600</v>
      </c>
      <c r="H246" s="90">
        <v>455.4</v>
      </c>
      <c r="I246" s="379"/>
      <c r="J246" s="379">
        <f t="shared" si="11"/>
        <v>75.9</v>
      </c>
    </row>
    <row r="247" spans="1:10" s="130" customFormat="1" ht="24">
      <c r="A247" s="87" t="s">
        <v>1725</v>
      </c>
      <c r="B247" s="85" t="s">
        <v>1603</v>
      </c>
      <c r="C247" s="85" t="s">
        <v>1795</v>
      </c>
      <c r="D247" s="85" t="s">
        <v>880</v>
      </c>
      <c r="E247" s="85" t="s">
        <v>1071</v>
      </c>
      <c r="F247" s="243">
        <f>F248</f>
        <v>0</v>
      </c>
      <c r="G247" s="243">
        <f>G248</f>
        <v>980</v>
      </c>
      <c r="H247" s="243">
        <f>H248</f>
        <v>951.1</v>
      </c>
      <c r="I247" s="379"/>
      <c r="J247" s="379">
        <f t="shared" si="11"/>
        <v>97.05102040816327</v>
      </c>
    </row>
    <row r="248" spans="1:10" s="130" customFormat="1" ht="15">
      <c r="A248" s="87" t="s">
        <v>87</v>
      </c>
      <c r="B248" s="85" t="s">
        <v>1603</v>
      </c>
      <c r="C248" s="85" t="s">
        <v>1795</v>
      </c>
      <c r="D248" s="85" t="s">
        <v>880</v>
      </c>
      <c r="E248" s="85" t="s">
        <v>88</v>
      </c>
      <c r="F248" s="90"/>
      <c r="G248" s="90">
        <v>980</v>
      </c>
      <c r="H248" s="90">
        <v>951.1</v>
      </c>
      <c r="I248" s="379"/>
      <c r="J248" s="379">
        <f t="shared" si="11"/>
        <v>97.05102040816327</v>
      </c>
    </row>
    <row r="249" spans="1:10" s="130" customFormat="1" ht="24" hidden="1">
      <c r="A249" s="87" t="s">
        <v>1726</v>
      </c>
      <c r="B249" s="85" t="s">
        <v>1603</v>
      </c>
      <c r="C249" s="85" t="s">
        <v>1795</v>
      </c>
      <c r="D249" s="85" t="s">
        <v>1727</v>
      </c>
      <c r="E249" s="85" t="s">
        <v>1071</v>
      </c>
      <c r="F249" s="243">
        <f>F250</f>
        <v>0</v>
      </c>
      <c r="G249" s="243">
        <f>G250</f>
        <v>0</v>
      </c>
      <c r="H249" s="243">
        <f>H250</f>
        <v>0</v>
      </c>
      <c r="I249" s="379"/>
      <c r="J249" s="379" t="e">
        <f t="shared" si="11"/>
        <v>#DIV/0!</v>
      </c>
    </row>
    <row r="250" spans="1:10" s="130" customFormat="1" ht="15.75" hidden="1">
      <c r="A250" s="87" t="s">
        <v>87</v>
      </c>
      <c r="B250" s="85" t="s">
        <v>1603</v>
      </c>
      <c r="C250" s="85" t="s">
        <v>1795</v>
      </c>
      <c r="D250" s="85" t="s">
        <v>1727</v>
      </c>
      <c r="E250" s="85" t="s">
        <v>88</v>
      </c>
      <c r="F250" s="90"/>
      <c r="G250" s="90"/>
      <c r="H250" s="90"/>
      <c r="I250" s="379"/>
      <c r="J250" s="379" t="e">
        <f t="shared" si="11"/>
        <v>#DIV/0!</v>
      </c>
    </row>
    <row r="251" spans="1:10" s="130" customFormat="1" ht="15">
      <c r="A251" s="86" t="s">
        <v>909</v>
      </c>
      <c r="B251" s="85" t="s">
        <v>1603</v>
      </c>
      <c r="C251" s="85" t="s">
        <v>1795</v>
      </c>
      <c r="D251" s="85" t="s">
        <v>910</v>
      </c>
      <c r="E251" s="85"/>
      <c r="F251" s="243">
        <f aca="true" t="shared" si="16" ref="F251:H252">F252</f>
        <v>0</v>
      </c>
      <c r="G251" s="243">
        <f t="shared" si="16"/>
        <v>2370</v>
      </c>
      <c r="H251" s="243">
        <f t="shared" si="16"/>
        <v>2109.7</v>
      </c>
      <c r="I251" s="379"/>
      <c r="J251" s="379">
        <f t="shared" si="11"/>
        <v>89.0168776371308</v>
      </c>
    </row>
    <row r="252" spans="1:10" s="130" customFormat="1" ht="48">
      <c r="A252" s="111" t="s">
        <v>1728</v>
      </c>
      <c r="B252" s="85" t="s">
        <v>1603</v>
      </c>
      <c r="C252" s="85" t="s">
        <v>1795</v>
      </c>
      <c r="D252" s="85" t="s">
        <v>739</v>
      </c>
      <c r="E252" s="109" t="s">
        <v>1071</v>
      </c>
      <c r="F252" s="243">
        <f t="shared" si="16"/>
        <v>0</v>
      </c>
      <c r="G252" s="243">
        <f t="shared" si="16"/>
        <v>2370</v>
      </c>
      <c r="H252" s="243">
        <f t="shared" si="16"/>
        <v>2109.7</v>
      </c>
      <c r="I252" s="379"/>
      <c r="J252" s="379">
        <f t="shared" si="11"/>
        <v>89.0168776371308</v>
      </c>
    </row>
    <row r="253" spans="1:10" s="130" customFormat="1" ht="15">
      <c r="A253" s="87" t="s">
        <v>1836</v>
      </c>
      <c r="B253" s="85" t="s">
        <v>1603</v>
      </c>
      <c r="C253" s="85" t="s">
        <v>1795</v>
      </c>
      <c r="D253" s="85" t="s">
        <v>739</v>
      </c>
      <c r="E253" s="109" t="s">
        <v>1837</v>
      </c>
      <c r="F253" s="90"/>
      <c r="G253" s="90">
        <v>2370</v>
      </c>
      <c r="H253" s="90">
        <v>2109.7</v>
      </c>
      <c r="I253" s="379"/>
      <c r="J253" s="379">
        <f t="shared" si="11"/>
        <v>89.0168776371308</v>
      </c>
    </row>
    <row r="254" spans="1:10" s="130" customFormat="1" ht="15">
      <c r="A254" s="91" t="s">
        <v>1249</v>
      </c>
      <c r="B254" s="85" t="s">
        <v>1603</v>
      </c>
      <c r="C254" s="85" t="s">
        <v>1250</v>
      </c>
      <c r="D254" s="85"/>
      <c r="E254" s="109"/>
      <c r="F254" s="243">
        <f>F255+F257+F265+F267+F269</f>
        <v>2644</v>
      </c>
      <c r="G254" s="243">
        <f>G255+G257+G265+G267+G269</f>
        <v>13536.4</v>
      </c>
      <c r="H254" s="243">
        <f>H255+H257+H265+H267+H269</f>
        <v>13079</v>
      </c>
      <c r="I254" s="421" t="s">
        <v>1212</v>
      </c>
      <c r="J254" s="379">
        <f t="shared" si="11"/>
        <v>96.62096273750775</v>
      </c>
    </row>
    <row r="255" spans="1:10" s="130" customFormat="1" ht="20.25" customHeight="1" hidden="1">
      <c r="A255" s="86" t="s">
        <v>1251</v>
      </c>
      <c r="B255" s="85" t="s">
        <v>1603</v>
      </c>
      <c r="C255" s="85" t="s">
        <v>1083</v>
      </c>
      <c r="D255" s="85" t="s">
        <v>1252</v>
      </c>
      <c r="E255" s="109"/>
      <c r="F255" s="243">
        <f>F256</f>
        <v>0</v>
      </c>
      <c r="G255" s="243">
        <f>G256</f>
        <v>0</v>
      </c>
      <c r="H255" s="243">
        <f>H256</f>
        <v>0</v>
      </c>
      <c r="I255" s="379" t="e">
        <f>H255/F255*100</f>
        <v>#DIV/0!</v>
      </c>
      <c r="J255" s="379" t="e">
        <f t="shared" si="11"/>
        <v>#DIV/0!</v>
      </c>
    </row>
    <row r="256" spans="1:10" s="130" customFormat="1" ht="15.75" hidden="1">
      <c r="A256" s="92" t="s">
        <v>1253</v>
      </c>
      <c r="B256" s="85" t="s">
        <v>1603</v>
      </c>
      <c r="C256" s="85" t="s">
        <v>1083</v>
      </c>
      <c r="D256" s="85" t="s">
        <v>1252</v>
      </c>
      <c r="E256" s="109" t="s">
        <v>1254</v>
      </c>
      <c r="F256" s="90"/>
      <c r="G256" s="90"/>
      <c r="H256" s="90"/>
      <c r="I256" s="379" t="e">
        <f>H256/F256*100</f>
        <v>#DIV/0!</v>
      </c>
      <c r="J256" s="379" t="e">
        <f t="shared" si="11"/>
        <v>#DIV/0!</v>
      </c>
    </row>
    <row r="257" spans="1:10" s="130" customFormat="1" ht="24">
      <c r="A257" s="93" t="s">
        <v>1255</v>
      </c>
      <c r="B257" s="85" t="s">
        <v>1603</v>
      </c>
      <c r="C257" s="85" t="s">
        <v>1250</v>
      </c>
      <c r="D257" s="85" t="s">
        <v>1256</v>
      </c>
      <c r="E257" s="85"/>
      <c r="F257" s="243">
        <f>F258+F263</f>
        <v>1644</v>
      </c>
      <c r="G257" s="243">
        <f>G258+G263</f>
        <v>2026.4</v>
      </c>
      <c r="H257" s="243">
        <f>H258+H263</f>
        <v>1569</v>
      </c>
      <c r="I257" s="379">
        <f>H257/F257*100</f>
        <v>95.43795620437956</v>
      </c>
      <c r="J257" s="379">
        <f t="shared" si="11"/>
        <v>77.42795104619027</v>
      </c>
    </row>
    <row r="258" spans="1:10" s="130" customFormat="1" ht="22.5" customHeight="1">
      <c r="A258" s="95" t="s">
        <v>1257</v>
      </c>
      <c r="B258" s="85" t="s">
        <v>1603</v>
      </c>
      <c r="C258" s="85" t="s">
        <v>1250</v>
      </c>
      <c r="D258" s="85" t="s">
        <v>1258</v>
      </c>
      <c r="E258" s="109" t="s">
        <v>1071</v>
      </c>
      <c r="F258" s="243">
        <f>F259+F260</f>
        <v>992</v>
      </c>
      <c r="G258" s="243">
        <f>G259+G260</f>
        <v>1492</v>
      </c>
      <c r="H258" s="243">
        <f>H259+H260</f>
        <v>1054.9</v>
      </c>
      <c r="I258" s="379">
        <f>H258/F258*100</f>
        <v>106.34072580645162</v>
      </c>
      <c r="J258" s="379">
        <f t="shared" si="11"/>
        <v>70.70375335120644</v>
      </c>
    </row>
    <row r="259" spans="1:10" s="130" customFormat="1" ht="33.75" customHeight="1">
      <c r="A259" s="92" t="s">
        <v>1729</v>
      </c>
      <c r="B259" s="85" t="s">
        <v>1603</v>
      </c>
      <c r="C259" s="85" t="s">
        <v>1250</v>
      </c>
      <c r="D259" s="85" t="s">
        <v>1258</v>
      </c>
      <c r="E259" s="109" t="s">
        <v>1837</v>
      </c>
      <c r="F259" s="90"/>
      <c r="G259" s="90">
        <f>992+500+364.9-364.9</f>
        <v>1492</v>
      </c>
      <c r="H259" s="248">
        <v>1054.9</v>
      </c>
      <c r="I259" s="379"/>
      <c r="J259" s="379">
        <f t="shared" si="11"/>
        <v>70.70375335120644</v>
      </c>
    </row>
    <row r="260" spans="1:10" s="130" customFormat="1" ht="18" customHeight="1">
      <c r="A260" s="358" t="s">
        <v>1597</v>
      </c>
      <c r="B260" s="85" t="s">
        <v>1603</v>
      </c>
      <c r="C260" s="85" t="s">
        <v>1250</v>
      </c>
      <c r="D260" s="85" t="s">
        <v>1258</v>
      </c>
      <c r="E260" s="109" t="s">
        <v>436</v>
      </c>
      <c r="F260" s="90">
        <v>992</v>
      </c>
      <c r="G260" s="90"/>
      <c r="H260" s="248"/>
      <c r="I260" s="379">
        <f>H260/F260*100</f>
        <v>0</v>
      </c>
      <c r="J260" s="379"/>
    </row>
    <row r="261" spans="1:10" s="130" customFormat="1" ht="48">
      <c r="A261" s="92" t="s">
        <v>1730</v>
      </c>
      <c r="B261" s="85" t="s">
        <v>1603</v>
      </c>
      <c r="C261" s="85" t="s">
        <v>1250</v>
      </c>
      <c r="D261" s="85" t="s">
        <v>311</v>
      </c>
      <c r="E261" s="109" t="s">
        <v>1071</v>
      </c>
      <c r="F261" s="243">
        <f>F262</f>
        <v>652</v>
      </c>
      <c r="G261" s="243">
        <f>G262</f>
        <v>534.4</v>
      </c>
      <c r="H261" s="243">
        <f>H262</f>
        <v>514.1</v>
      </c>
      <c r="I261" s="379">
        <f>H261/F261*100</f>
        <v>78.84969325153375</v>
      </c>
      <c r="J261" s="379">
        <f t="shared" si="11"/>
        <v>96.20134730538923</v>
      </c>
    </row>
    <row r="262" spans="1:10" s="130" customFormat="1" ht="15">
      <c r="A262" s="87" t="s">
        <v>743</v>
      </c>
      <c r="B262" s="85" t="s">
        <v>1603</v>
      </c>
      <c r="C262" s="85" t="s">
        <v>1250</v>
      </c>
      <c r="D262" s="85" t="s">
        <v>311</v>
      </c>
      <c r="E262" s="85" t="s">
        <v>744</v>
      </c>
      <c r="F262" s="243">
        <f>F264+F263</f>
        <v>652</v>
      </c>
      <c r="G262" s="243">
        <f>G264+G263</f>
        <v>534.4</v>
      </c>
      <c r="H262" s="243">
        <f>H264+H263</f>
        <v>514.1</v>
      </c>
      <c r="I262" s="379">
        <f>H262/F262*100</f>
        <v>78.84969325153375</v>
      </c>
      <c r="J262" s="379">
        <f t="shared" si="11"/>
        <v>96.20134730538923</v>
      </c>
    </row>
    <row r="263" spans="1:10" s="130" customFormat="1" ht="24">
      <c r="A263" s="87" t="s">
        <v>745</v>
      </c>
      <c r="B263" s="85" t="s">
        <v>1603</v>
      </c>
      <c r="C263" s="85" t="s">
        <v>1250</v>
      </c>
      <c r="D263" s="85" t="s">
        <v>311</v>
      </c>
      <c r="E263" s="85" t="s">
        <v>746</v>
      </c>
      <c r="F263" s="248">
        <v>652</v>
      </c>
      <c r="G263" s="248">
        <f>652-117.6</f>
        <v>534.4</v>
      </c>
      <c r="H263" s="90">
        <v>514.1</v>
      </c>
      <c r="I263" s="379">
        <f>H263/F263*100</f>
        <v>78.84969325153375</v>
      </c>
      <c r="J263" s="379">
        <f t="shared" si="11"/>
        <v>96.20134730538923</v>
      </c>
    </row>
    <row r="264" spans="1:10" s="130" customFormat="1" ht="15.75" hidden="1">
      <c r="A264" s="87" t="s">
        <v>540</v>
      </c>
      <c r="B264" s="85" t="s">
        <v>1603</v>
      </c>
      <c r="C264" s="85" t="s">
        <v>1250</v>
      </c>
      <c r="D264" s="85" t="s">
        <v>311</v>
      </c>
      <c r="E264" s="85" t="s">
        <v>541</v>
      </c>
      <c r="F264" s="90"/>
      <c r="G264" s="90"/>
      <c r="H264" s="243"/>
      <c r="I264" s="379" t="e">
        <f>H264/F264*100</f>
        <v>#DIV/0!</v>
      </c>
      <c r="J264" s="379" t="e">
        <f t="shared" si="11"/>
        <v>#DIV/0!</v>
      </c>
    </row>
    <row r="265" spans="1:10" s="130" customFormat="1" ht="24">
      <c r="A265" s="87" t="s">
        <v>882</v>
      </c>
      <c r="B265" s="85" t="s">
        <v>1603</v>
      </c>
      <c r="C265" s="85" t="s">
        <v>1250</v>
      </c>
      <c r="D265" s="85" t="s">
        <v>881</v>
      </c>
      <c r="E265" s="85" t="s">
        <v>1071</v>
      </c>
      <c r="F265" s="90"/>
      <c r="G265" s="243">
        <f>G266</f>
        <v>6510</v>
      </c>
      <c r="H265" s="243">
        <f>H266</f>
        <v>6510</v>
      </c>
      <c r="I265" s="379"/>
      <c r="J265" s="379">
        <f t="shared" si="11"/>
        <v>100</v>
      </c>
    </row>
    <row r="266" spans="1:10" s="130" customFormat="1" ht="24">
      <c r="A266" s="92" t="s">
        <v>185</v>
      </c>
      <c r="B266" s="85" t="s">
        <v>1603</v>
      </c>
      <c r="C266" s="85" t="s">
        <v>1250</v>
      </c>
      <c r="D266" s="85" t="s">
        <v>881</v>
      </c>
      <c r="E266" s="85" t="s">
        <v>186</v>
      </c>
      <c r="F266" s="90"/>
      <c r="G266" s="90">
        <v>6510</v>
      </c>
      <c r="H266" s="90">
        <v>6510</v>
      </c>
      <c r="I266" s="379"/>
      <c r="J266" s="379">
        <f t="shared" si="11"/>
        <v>100</v>
      </c>
    </row>
    <row r="267" spans="1:10" s="130" customFormat="1" ht="36">
      <c r="A267" s="87" t="s">
        <v>1731</v>
      </c>
      <c r="B267" s="85" t="s">
        <v>1603</v>
      </c>
      <c r="C267" s="85" t="s">
        <v>1250</v>
      </c>
      <c r="D267" s="85" t="s">
        <v>574</v>
      </c>
      <c r="E267" s="85"/>
      <c r="F267" s="243">
        <f>F268</f>
        <v>0</v>
      </c>
      <c r="G267" s="243">
        <f>G268</f>
        <v>4000</v>
      </c>
      <c r="H267" s="243">
        <f>H268</f>
        <v>4000</v>
      </c>
      <c r="I267" s="379"/>
      <c r="J267" s="379">
        <f t="shared" si="11"/>
        <v>100</v>
      </c>
    </row>
    <row r="268" spans="1:10" s="130" customFormat="1" ht="24">
      <c r="A268" s="92" t="s">
        <v>185</v>
      </c>
      <c r="B268" s="85" t="s">
        <v>1603</v>
      </c>
      <c r="C268" s="85" t="s">
        <v>1250</v>
      </c>
      <c r="D268" s="85" t="s">
        <v>574</v>
      </c>
      <c r="E268" s="85" t="s">
        <v>186</v>
      </c>
      <c r="F268" s="90"/>
      <c r="G268" s="90">
        <v>4000</v>
      </c>
      <c r="H268" s="248">
        <v>4000</v>
      </c>
      <c r="I268" s="379"/>
      <c r="J268" s="379">
        <f t="shared" si="11"/>
        <v>100</v>
      </c>
    </row>
    <row r="269" spans="1:10" s="130" customFormat="1" ht="15">
      <c r="A269" s="86" t="s">
        <v>909</v>
      </c>
      <c r="B269" s="85" t="s">
        <v>1603</v>
      </c>
      <c r="C269" s="85" t="s">
        <v>1250</v>
      </c>
      <c r="D269" s="85" t="s">
        <v>910</v>
      </c>
      <c r="E269" s="85"/>
      <c r="F269" s="243">
        <f>F270</f>
        <v>1000</v>
      </c>
      <c r="G269" s="243">
        <f>G270</f>
        <v>1000</v>
      </c>
      <c r="H269" s="243">
        <f>H270</f>
        <v>1000</v>
      </c>
      <c r="I269" s="379">
        <f>H269/F269*100</f>
        <v>100</v>
      </c>
      <c r="J269" s="379">
        <f t="shared" si="11"/>
        <v>100</v>
      </c>
    </row>
    <row r="270" spans="1:10" s="130" customFormat="1" ht="24">
      <c r="A270" s="87" t="s">
        <v>225</v>
      </c>
      <c r="B270" s="85" t="s">
        <v>1603</v>
      </c>
      <c r="C270" s="85" t="s">
        <v>1250</v>
      </c>
      <c r="D270" s="85" t="s">
        <v>1732</v>
      </c>
      <c r="E270" s="85" t="s">
        <v>1071</v>
      </c>
      <c r="F270" s="243">
        <f>F271+F272</f>
        <v>1000</v>
      </c>
      <c r="G270" s="243">
        <f>G271+G272</f>
        <v>1000</v>
      </c>
      <c r="H270" s="243">
        <f>H271+H272</f>
        <v>1000</v>
      </c>
      <c r="I270" s="379">
        <f aca="true" t="shared" si="17" ref="I270:I329">H270/F270*100</f>
        <v>100</v>
      </c>
      <c r="J270" s="379">
        <f aca="true" t="shared" si="18" ref="J270:J333">H270/G270*100</f>
        <v>100</v>
      </c>
    </row>
    <row r="271" spans="1:10" s="130" customFormat="1" ht="15">
      <c r="A271" s="87" t="s">
        <v>924</v>
      </c>
      <c r="B271" s="85" t="s">
        <v>1603</v>
      </c>
      <c r="C271" s="85" t="s">
        <v>1250</v>
      </c>
      <c r="D271" s="85" t="s">
        <v>1732</v>
      </c>
      <c r="E271" s="85" t="s">
        <v>1881</v>
      </c>
      <c r="F271" s="90">
        <v>1000</v>
      </c>
      <c r="G271" s="243"/>
      <c r="H271" s="243"/>
      <c r="I271" s="379">
        <f t="shared" si="17"/>
        <v>0</v>
      </c>
      <c r="J271" s="379"/>
    </row>
    <row r="272" spans="1:10" s="130" customFormat="1" ht="24">
      <c r="A272" s="92" t="s">
        <v>185</v>
      </c>
      <c r="B272" s="85" t="s">
        <v>1603</v>
      </c>
      <c r="C272" s="85" t="s">
        <v>1250</v>
      </c>
      <c r="D272" s="85" t="s">
        <v>1732</v>
      </c>
      <c r="E272" s="85" t="s">
        <v>186</v>
      </c>
      <c r="F272" s="90"/>
      <c r="G272" s="90">
        <v>1000</v>
      </c>
      <c r="H272" s="90">
        <v>1000</v>
      </c>
      <c r="I272" s="379"/>
      <c r="J272" s="379">
        <f t="shared" si="18"/>
        <v>100</v>
      </c>
    </row>
    <row r="273" spans="1:10" s="130" customFormat="1" ht="21" customHeight="1">
      <c r="A273" s="175" t="s">
        <v>312</v>
      </c>
      <c r="B273" s="176" t="s">
        <v>172</v>
      </c>
      <c r="C273" s="176"/>
      <c r="D273" s="109"/>
      <c r="E273" s="109"/>
      <c r="F273" s="245">
        <f>F274+F321+F346</f>
        <v>208042.8</v>
      </c>
      <c r="G273" s="245">
        <f>G274+G321+G346</f>
        <v>308538.522</v>
      </c>
      <c r="H273" s="245">
        <f>H274+H321+H346</f>
        <v>295465.5</v>
      </c>
      <c r="I273" s="420">
        <f t="shared" si="17"/>
        <v>142.021497499553</v>
      </c>
      <c r="J273" s="420">
        <f t="shared" si="18"/>
        <v>95.7629206507964</v>
      </c>
    </row>
    <row r="274" spans="1:10" s="130" customFormat="1" ht="15">
      <c r="A274" s="91" t="s">
        <v>1286</v>
      </c>
      <c r="B274" s="109" t="s">
        <v>172</v>
      </c>
      <c r="C274" s="109" t="s">
        <v>141</v>
      </c>
      <c r="D274" s="109"/>
      <c r="E274" s="109"/>
      <c r="F274" s="243">
        <f>F275+F281+F289+F309+F302+F315</f>
        <v>40900</v>
      </c>
      <c r="G274" s="243">
        <f>G275+G281+G289+G309+G302+G315</f>
        <v>77932.02200000001</v>
      </c>
      <c r="H274" s="243">
        <f>H275+H281+H289+H309+H302+H315</f>
        <v>71877.1</v>
      </c>
      <c r="I274" s="379">
        <f t="shared" si="17"/>
        <v>175.73863080684598</v>
      </c>
      <c r="J274" s="379">
        <f t="shared" si="18"/>
        <v>92.23050827553274</v>
      </c>
    </row>
    <row r="275" spans="1:10" s="130" customFormat="1" ht="16.5" customHeight="1">
      <c r="A275" s="86" t="s">
        <v>313</v>
      </c>
      <c r="B275" s="109" t="s">
        <v>172</v>
      </c>
      <c r="C275" s="109" t="s">
        <v>141</v>
      </c>
      <c r="D275" s="109" t="s">
        <v>314</v>
      </c>
      <c r="E275" s="109"/>
      <c r="F275" s="243">
        <f>F276+F278+F280</f>
        <v>0</v>
      </c>
      <c r="G275" s="243">
        <f>G276+G278+G280</f>
        <v>37032.122</v>
      </c>
      <c r="H275" s="243">
        <f>H276+H278+H280</f>
        <v>37032.100000000006</v>
      </c>
      <c r="I275" s="379"/>
      <c r="J275" s="379">
        <f t="shared" si="18"/>
        <v>99.99994059211622</v>
      </c>
    </row>
    <row r="276" spans="1:10" s="130" customFormat="1" ht="17.25" customHeight="1">
      <c r="A276" s="92" t="s">
        <v>315</v>
      </c>
      <c r="B276" s="109" t="s">
        <v>172</v>
      </c>
      <c r="C276" s="109" t="s">
        <v>141</v>
      </c>
      <c r="D276" s="109" t="s">
        <v>316</v>
      </c>
      <c r="E276" s="109" t="s">
        <v>1071</v>
      </c>
      <c r="F276" s="243">
        <f>F277</f>
        <v>0</v>
      </c>
      <c r="G276" s="243">
        <f>G277</f>
        <v>18517.422000000002</v>
      </c>
      <c r="H276" s="243">
        <f>H277</f>
        <v>18517.4</v>
      </c>
      <c r="I276" s="379"/>
      <c r="J276" s="379">
        <f t="shared" si="18"/>
        <v>99.99988119296519</v>
      </c>
    </row>
    <row r="277" spans="1:10" s="130" customFormat="1" ht="21" customHeight="1">
      <c r="A277" s="92" t="s">
        <v>185</v>
      </c>
      <c r="B277" s="109" t="s">
        <v>172</v>
      </c>
      <c r="C277" s="109" t="s">
        <v>141</v>
      </c>
      <c r="D277" s="109" t="s">
        <v>316</v>
      </c>
      <c r="E277" s="109" t="s">
        <v>186</v>
      </c>
      <c r="F277" s="90"/>
      <c r="G277" s="90">
        <f>5554.3+12959.9+3.222</f>
        <v>18517.422000000002</v>
      </c>
      <c r="H277" s="90">
        <v>18517.4</v>
      </c>
      <c r="I277" s="379"/>
      <c r="J277" s="379">
        <f t="shared" si="18"/>
        <v>99.99988119296519</v>
      </c>
    </row>
    <row r="278" spans="1:10" s="130" customFormat="1" ht="24">
      <c r="A278" s="92" t="s">
        <v>317</v>
      </c>
      <c r="B278" s="85" t="s">
        <v>172</v>
      </c>
      <c r="C278" s="85" t="s">
        <v>141</v>
      </c>
      <c r="D278" s="85" t="s">
        <v>318</v>
      </c>
      <c r="E278" s="109" t="s">
        <v>1071</v>
      </c>
      <c r="F278" s="243">
        <f>F279</f>
        <v>0</v>
      </c>
      <c r="G278" s="243">
        <f>G279</f>
        <v>18514.7</v>
      </c>
      <c r="H278" s="243">
        <f>H279</f>
        <v>18514.7</v>
      </c>
      <c r="I278" s="379"/>
      <c r="J278" s="379">
        <f t="shared" si="18"/>
        <v>100</v>
      </c>
    </row>
    <row r="279" spans="1:10" s="130" customFormat="1" ht="24">
      <c r="A279" s="92" t="s">
        <v>185</v>
      </c>
      <c r="B279" s="85" t="s">
        <v>172</v>
      </c>
      <c r="C279" s="85" t="s">
        <v>141</v>
      </c>
      <c r="D279" s="85" t="s">
        <v>318</v>
      </c>
      <c r="E279" s="109" t="s">
        <v>186</v>
      </c>
      <c r="F279" s="90"/>
      <c r="G279" s="90">
        <f>9258.1-1+9257.1+0.5</f>
        <v>18514.7</v>
      </c>
      <c r="H279" s="84">
        <v>18514.7</v>
      </c>
      <c r="I279" s="379"/>
      <c r="J279" s="379">
        <f t="shared" si="18"/>
        <v>100</v>
      </c>
    </row>
    <row r="280" spans="1:10" s="130" customFormat="1" ht="24" hidden="1">
      <c r="A280" s="92" t="s">
        <v>319</v>
      </c>
      <c r="B280" s="85" t="s">
        <v>172</v>
      </c>
      <c r="C280" s="85" t="s">
        <v>141</v>
      </c>
      <c r="D280" s="85" t="s">
        <v>320</v>
      </c>
      <c r="E280" s="109" t="s">
        <v>436</v>
      </c>
      <c r="F280" s="90">
        <v>0</v>
      </c>
      <c r="G280" s="90">
        <v>0</v>
      </c>
      <c r="H280" s="243"/>
      <c r="I280" s="379" t="e">
        <f t="shared" si="17"/>
        <v>#DIV/0!</v>
      </c>
      <c r="J280" s="379" t="e">
        <f t="shared" si="18"/>
        <v>#DIV/0!</v>
      </c>
    </row>
    <row r="281" spans="1:10" s="130" customFormat="1" ht="24.75" customHeight="1" hidden="1">
      <c r="A281" s="352" t="s">
        <v>321</v>
      </c>
      <c r="B281" s="279" t="s">
        <v>172</v>
      </c>
      <c r="C281" s="279" t="s">
        <v>141</v>
      </c>
      <c r="D281" s="279" t="s">
        <v>322</v>
      </c>
      <c r="E281" s="353"/>
      <c r="F281" s="243">
        <f>F286</f>
        <v>0</v>
      </c>
      <c r="G281" s="243">
        <f>G286</f>
        <v>0</v>
      </c>
      <c r="H281" s="243"/>
      <c r="I281" s="379" t="e">
        <f t="shared" si="17"/>
        <v>#DIV/0!</v>
      </c>
      <c r="J281" s="379" t="e">
        <f t="shared" si="18"/>
        <v>#DIV/0!</v>
      </c>
    </row>
    <row r="282" spans="1:10" s="130" customFormat="1" ht="15.75" hidden="1">
      <c r="A282" s="354" t="s">
        <v>323</v>
      </c>
      <c r="B282" s="279" t="s">
        <v>172</v>
      </c>
      <c r="C282" s="279" t="s">
        <v>141</v>
      </c>
      <c r="D282" s="279" t="s">
        <v>324</v>
      </c>
      <c r="E282" s="353"/>
      <c r="F282" s="243">
        <f>F283</f>
        <v>0</v>
      </c>
      <c r="G282" s="243">
        <f>G283</f>
        <v>0</v>
      </c>
      <c r="H282" s="243"/>
      <c r="I282" s="379" t="e">
        <f t="shared" si="17"/>
        <v>#DIV/0!</v>
      </c>
      <c r="J282" s="379" t="e">
        <f t="shared" si="18"/>
        <v>#DIV/0!</v>
      </c>
    </row>
    <row r="283" spans="1:10" s="130" customFormat="1" ht="24" hidden="1">
      <c r="A283" s="354" t="s">
        <v>325</v>
      </c>
      <c r="B283" s="279" t="s">
        <v>172</v>
      </c>
      <c r="C283" s="279" t="s">
        <v>141</v>
      </c>
      <c r="D283" s="279" t="s">
        <v>324</v>
      </c>
      <c r="E283" s="353" t="s">
        <v>326</v>
      </c>
      <c r="F283" s="243">
        <f>F284+F285</f>
        <v>0</v>
      </c>
      <c r="G283" s="243">
        <f>G284+G285</f>
        <v>0</v>
      </c>
      <c r="H283" s="90"/>
      <c r="I283" s="379" t="e">
        <f t="shared" si="17"/>
        <v>#DIV/0!</v>
      </c>
      <c r="J283" s="379" t="e">
        <f t="shared" si="18"/>
        <v>#DIV/0!</v>
      </c>
    </row>
    <row r="284" spans="1:10" s="130" customFormat="1" ht="48" hidden="1">
      <c r="A284" s="354" t="s">
        <v>888</v>
      </c>
      <c r="B284" s="279" t="s">
        <v>172</v>
      </c>
      <c r="C284" s="279" t="s">
        <v>141</v>
      </c>
      <c r="D284" s="279" t="s">
        <v>324</v>
      </c>
      <c r="E284" s="353" t="s">
        <v>326</v>
      </c>
      <c r="F284" s="90"/>
      <c r="G284" s="90"/>
      <c r="H284" s="90"/>
      <c r="I284" s="379" t="e">
        <f t="shared" si="17"/>
        <v>#DIV/0!</v>
      </c>
      <c r="J284" s="379" t="e">
        <f t="shared" si="18"/>
        <v>#DIV/0!</v>
      </c>
    </row>
    <row r="285" spans="1:10" s="130" customFormat="1" ht="48" hidden="1">
      <c r="A285" s="354" t="s">
        <v>219</v>
      </c>
      <c r="B285" s="279" t="s">
        <v>172</v>
      </c>
      <c r="C285" s="279" t="s">
        <v>141</v>
      </c>
      <c r="D285" s="279" t="s">
        <v>324</v>
      </c>
      <c r="E285" s="353" t="s">
        <v>326</v>
      </c>
      <c r="F285" s="90"/>
      <c r="G285" s="90"/>
      <c r="H285" s="90"/>
      <c r="I285" s="379" t="e">
        <f t="shared" si="17"/>
        <v>#DIV/0!</v>
      </c>
      <c r="J285" s="379" t="e">
        <f t="shared" si="18"/>
        <v>#DIV/0!</v>
      </c>
    </row>
    <row r="286" spans="1:10" s="130" customFormat="1" ht="24" hidden="1">
      <c r="A286" s="352" t="s">
        <v>220</v>
      </c>
      <c r="B286" s="353" t="s">
        <v>172</v>
      </c>
      <c r="C286" s="353" t="s">
        <v>141</v>
      </c>
      <c r="D286" s="279" t="s">
        <v>936</v>
      </c>
      <c r="E286" s="353"/>
      <c r="F286" s="243">
        <f>F287</f>
        <v>0</v>
      </c>
      <c r="G286" s="243">
        <f>G287</f>
        <v>0</v>
      </c>
      <c r="H286" s="243"/>
      <c r="I286" s="379" t="e">
        <f t="shared" si="17"/>
        <v>#DIV/0!</v>
      </c>
      <c r="J286" s="379" t="e">
        <f t="shared" si="18"/>
        <v>#DIV/0!</v>
      </c>
    </row>
    <row r="287" spans="1:10" s="130" customFormat="1" ht="18.75" customHeight="1" hidden="1">
      <c r="A287" s="354" t="s">
        <v>937</v>
      </c>
      <c r="B287" s="353" t="s">
        <v>172</v>
      </c>
      <c r="C287" s="353" t="s">
        <v>141</v>
      </c>
      <c r="D287" s="353" t="s">
        <v>1049</v>
      </c>
      <c r="E287" s="353" t="s">
        <v>1071</v>
      </c>
      <c r="F287" s="243">
        <f>F288</f>
        <v>0</v>
      </c>
      <c r="G287" s="243">
        <f>G288</f>
        <v>0</v>
      </c>
      <c r="H287" s="243"/>
      <c r="I287" s="379" t="e">
        <f t="shared" si="17"/>
        <v>#DIV/0!</v>
      </c>
      <c r="J287" s="379" t="e">
        <f t="shared" si="18"/>
        <v>#DIV/0!</v>
      </c>
    </row>
    <row r="288" spans="1:10" s="130" customFormat="1" ht="48" hidden="1">
      <c r="A288" s="354" t="s">
        <v>1733</v>
      </c>
      <c r="B288" s="353" t="s">
        <v>172</v>
      </c>
      <c r="C288" s="353" t="s">
        <v>141</v>
      </c>
      <c r="D288" s="353" t="s">
        <v>1049</v>
      </c>
      <c r="E288" s="353" t="s">
        <v>742</v>
      </c>
      <c r="F288" s="90">
        <f>51650-51650</f>
        <v>0</v>
      </c>
      <c r="G288" s="90">
        <f>51650-51650</f>
        <v>0</v>
      </c>
      <c r="H288" s="90"/>
      <c r="I288" s="379" t="e">
        <f t="shared" si="17"/>
        <v>#DIV/0!</v>
      </c>
      <c r="J288" s="379" t="e">
        <f t="shared" si="18"/>
        <v>#DIV/0!</v>
      </c>
    </row>
    <row r="289" spans="1:10" s="130" customFormat="1" ht="15">
      <c r="A289" s="93" t="s">
        <v>221</v>
      </c>
      <c r="B289" s="109" t="s">
        <v>172</v>
      </c>
      <c r="C289" s="109" t="s">
        <v>141</v>
      </c>
      <c r="D289" s="109" t="s">
        <v>222</v>
      </c>
      <c r="E289" s="109"/>
      <c r="F289" s="243">
        <f>F290+F292+F294</f>
        <v>40900</v>
      </c>
      <c r="G289" s="243">
        <f>G290+G292+G294</f>
        <v>10461.8</v>
      </c>
      <c r="H289" s="243">
        <f>H290+H292+H294</f>
        <v>8394.2</v>
      </c>
      <c r="I289" s="379">
        <f t="shared" si="17"/>
        <v>20.523716381418094</v>
      </c>
      <c r="J289" s="379">
        <f t="shared" si="18"/>
        <v>80.23667055382441</v>
      </c>
    </row>
    <row r="290" spans="1:10" s="130" customFormat="1" ht="36" hidden="1">
      <c r="A290" s="92" t="s">
        <v>223</v>
      </c>
      <c r="B290" s="109" t="s">
        <v>172</v>
      </c>
      <c r="C290" s="109" t="s">
        <v>141</v>
      </c>
      <c r="D290" s="109" t="s">
        <v>224</v>
      </c>
      <c r="E290" s="109" t="s">
        <v>1071</v>
      </c>
      <c r="F290" s="243">
        <f>F291</f>
        <v>0</v>
      </c>
      <c r="G290" s="243">
        <f>G291</f>
        <v>0</v>
      </c>
      <c r="H290" s="243">
        <f>H291</f>
        <v>0</v>
      </c>
      <c r="I290" s="379" t="e">
        <f t="shared" si="17"/>
        <v>#DIV/0!</v>
      </c>
      <c r="J290" s="379" t="e">
        <f t="shared" si="18"/>
        <v>#DIV/0!</v>
      </c>
    </row>
    <row r="291" spans="1:10" s="130" customFormat="1" ht="24" hidden="1">
      <c r="A291" s="92" t="s">
        <v>955</v>
      </c>
      <c r="B291" s="109" t="s">
        <v>172</v>
      </c>
      <c r="C291" s="109" t="s">
        <v>141</v>
      </c>
      <c r="D291" s="109" t="s">
        <v>224</v>
      </c>
      <c r="E291" s="109" t="s">
        <v>1881</v>
      </c>
      <c r="F291" s="90"/>
      <c r="G291" s="90"/>
      <c r="H291" s="90"/>
      <c r="I291" s="379" t="e">
        <f t="shared" si="17"/>
        <v>#DIV/0!</v>
      </c>
      <c r="J291" s="379" t="e">
        <f t="shared" si="18"/>
        <v>#DIV/0!</v>
      </c>
    </row>
    <row r="292" spans="1:10" s="130" customFormat="1" ht="24.75" hidden="1">
      <c r="A292" s="112" t="s">
        <v>228</v>
      </c>
      <c r="B292" s="109" t="s">
        <v>172</v>
      </c>
      <c r="C292" s="109" t="s">
        <v>141</v>
      </c>
      <c r="D292" s="109" t="s">
        <v>229</v>
      </c>
      <c r="E292" s="85" t="s">
        <v>1071</v>
      </c>
      <c r="F292" s="243">
        <f>F293</f>
        <v>0</v>
      </c>
      <c r="G292" s="243">
        <f>G293</f>
        <v>0</v>
      </c>
      <c r="H292" s="243">
        <f>H293</f>
        <v>0</v>
      </c>
      <c r="I292" s="379" t="e">
        <f t="shared" si="17"/>
        <v>#DIV/0!</v>
      </c>
      <c r="J292" s="379" t="e">
        <f t="shared" si="18"/>
        <v>#DIV/0!</v>
      </c>
    </row>
    <row r="293" spans="1:10" s="130" customFormat="1" ht="24.75" hidden="1">
      <c r="A293" s="95" t="s">
        <v>230</v>
      </c>
      <c r="B293" s="109" t="s">
        <v>172</v>
      </c>
      <c r="C293" s="109" t="s">
        <v>141</v>
      </c>
      <c r="D293" s="109" t="s">
        <v>229</v>
      </c>
      <c r="E293" s="85" t="s">
        <v>436</v>
      </c>
      <c r="F293" s="90"/>
      <c r="G293" s="90"/>
      <c r="H293" s="90"/>
      <c r="I293" s="379" t="e">
        <f t="shared" si="17"/>
        <v>#DIV/0!</v>
      </c>
      <c r="J293" s="379" t="e">
        <f t="shared" si="18"/>
        <v>#DIV/0!</v>
      </c>
    </row>
    <row r="294" spans="1:10" s="130" customFormat="1" ht="15">
      <c r="A294" s="112" t="s">
        <v>231</v>
      </c>
      <c r="B294" s="109" t="s">
        <v>172</v>
      </c>
      <c r="C294" s="109" t="s">
        <v>141</v>
      </c>
      <c r="D294" s="109" t="s">
        <v>1046</v>
      </c>
      <c r="E294" s="85" t="s">
        <v>1071</v>
      </c>
      <c r="F294" s="243">
        <f>F295+F314+F296+F297+F301+F313</f>
        <v>40900</v>
      </c>
      <c r="G294" s="243">
        <f>G295+G314+G296+G297+G301+G313</f>
        <v>10461.8</v>
      </c>
      <c r="H294" s="243">
        <f>H295+H314+H296+H297+H301+H313</f>
        <v>8394.2</v>
      </c>
      <c r="I294" s="379">
        <f t="shared" si="17"/>
        <v>20.523716381418094</v>
      </c>
      <c r="J294" s="379">
        <f t="shared" si="18"/>
        <v>80.23667055382441</v>
      </c>
    </row>
    <row r="295" spans="1:10" s="130" customFormat="1" ht="24.75" customHeight="1">
      <c r="A295" s="112" t="s">
        <v>1729</v>
      </c>
      <c r="B295" s="109" t="s">
        <v>172</v>
      </c>
      <c r="C295" s="109" t="s">
        <v>141</v>
      </c>
      <c r="D295" s="109" t="s">
        <v>1046</v>
      </c>
      <c r="E295" s="85" t="s">
        <v>1837</v>
      </c>
      <c r="F295" s="90"/>
      <c r="G295" s="90">
        <v>10157</v>
      </c>
      <c r="H295" s="90">
        <v>8394.2</v>
      </c>
      <c r="I295" s="379"/>
      <c r="J295" s="379">
        <f t="shared" si="18"/>
        <v>82.64448163827902</v>
      </c>
    </row>
    <row r="296" spans="1:10" s="130" customFormat="1" ht="24.75" hidden="1">
      <c r="A296" s="355" t="s">
        <v>1734</v>
      </c>
      <c r="B296" s="109" t="s">
        <v>172</v>
      </c>
      <c r="C296" s="109" t="s">
        <v>141</v>
      </c>
      <c r="D296" s="109" t="s">
        <v>1046</v>
      </c>
      <c r="E296" s="85" t="s">
        <v>181</v>
      </c>
      <c r="F296" s="90">
        <v>0</v>
      </c>
      <c r="G296" s="90">
        <v>0</v>
      </c>
      <c r="H296" s="243"/>
      <c r="I296" s="379" t="e">
        <f t="shared" si="17"/>
        <v>#DIV/0!</v>
      </c>
      <c r="J296" s="379" t="e">
        <f t="shared" si="18"/>
        <v>#DIV/0!</v>
      </c>
    </row>
    <row r="297" spans="1:10" s="130" customFormat="1" ht="15.75" hidden="1">
      <c r="A297" s="112" t="s">
        <v>1204</v>
      </c>
      <c r="B297" s="109" t="s">
        <v>172</v>
      </c>
      <c r="C297" s="109" t="s">
        <v>141</v>
      </c>
      <c r="D297" s="109" t="s">
        <v>1046</v>
      </c>
      <c r="E297" s="85" t="s">
        <v>1881</v>
      </c>
      <c r="F297" s="356"/>
      <c r="G297" s="356"/>
      <c r="H297" s="243"/>
      <c r="I297" s="379" t="e">
        <f t="shared" si="17"/>
        <v>#DIV/0!</v>
      </c>
      <c r="J297" s="379" t="e">
        <f t="shared" si="18"/>
        <v>#DIV/0!</v>
      </c>
    </row>
    <row r="298" spans="1:10" s="130" customFormat="1" ht="15.75" hidden="1">
      <c r="A298" s="357" t="s">
        <v>1735</v>
      </c>
      <c r="B298" s="109" t="s">
        <v>172</v>
      </c>
      <c r="C298" s="109" t="s">
        <v>141</v>
      </c>
      <c r="D298" s="109" t="s">
        <v>1046</v>
      </c>
      <c r="E298" s="85" t="s">
        <v>1881</v>
      </c>
      <c r="F298" s="90"/>
      <c r="G298" s="90"/>
      <c r="H298" s="90"/>
      <c r="I298" s="379" t="e">
        <f t="shared" si="17"/>
        <v>#DIV/0!</v>
      </c>
      <c r="J298" s="379" t="e">
        <f t="shared" si="18"/>
        <v>#DIV/0!</v>
      </c>
    </row>
    <row r="299" spans="1:10" s="130" customFormat="1" ht="15.75" hidden="1">
      <c r="A299" s="357" t="s">
        <v>1736</v>
      </c>
      <c r="B299" s="109" t="s">
        <v>172</v>
      </c>
      <c r="C299" s="109" t="s">
        <v>141</v>
      </c>
      <c r="D299" s="109" t="s">
        <v>1046</v>
      </c>
      <c r="E299" s="85" t="s">
        <v>1881</v>
      </c>
      <c r="F299" s="90">
        <v>0</v>
      </c>
      <c r="G299" s="90">
        <v>0</v>
      </c>
      <c r="H299" s="90"/>
      <c r="I299" s="379" t="e">
        <f t="shared" si="17"/>
        <v>#DIV/0!</v>
      </c>
      <c r="J299" s="379" t="e">
        <f t="shared" si="18"/>
        <v>#DIV/0!</v>
      </c>
    </row>
    <row r="300" spans="1:10" s="130" customFormat="1" ht="19.5" customHeight="1" hidden="1">
      <c r="A300" s="112" t="s">
        <v>1737</v>
      </c>
      <c r="B300" s="109" t="s">
        <v>172</v>
      </c>
      <c r="C300" s="109" t="s">
        <v>141</v>
      </c>
      <c r="D300" s="109" t="s">
        <v>1046</v>
      </c>
      <c r="E300" s="85" t="s">
        <v>1881</v>
      </c>
      <c r="F300" s="90"/>
      <c r="G300" s="90"/>
      <c r="H300" s="243"/>
      <c r="I300" s="379" t="e">
        <f t="shared" si="17"/>
        <v>#DIV/0!</v>
      </c>
      <c r="J300" s="379" t="e">
        <f t="shared" si="18"/>
        <v>#DIV/0!</v>
      </c>
    </row>
    <row r="301" spans="1:10" s="130" customFormat="1" ht="17.25" customHeight="1">
      <c r="A301" s="95" t="s">
        <v>171</v>
      </c>
      <c r="B301" s="109" t="s">
        <v>172</v>
      </c>
      <c r="C301" s="109" t="s">
        <v>141</v>
      </c>
      <c r="D301" s="109" t="s">
        <v>1046</v>
      </c>
      <c r="E301" s="85" t="s">
        <v>436</v>
      </c>
      <c r="F301" s="90">
        <v>40900</v>
      </c>
      <c r="G301" s="90">
        <f>18832-18832</f>
        <v>0</v>
      </c>
      <c r="H301" s="90"/>
      <c r="I301" s="379">
        <f t="shared" si="17"/>
        <v>0</v>
      </c>
      <c r="J301" s="379"/>
    </row>
    <row r="302" spans="1:10" s="130" customFormat="1" ht="30" customHeight="1" hidden="1">
      <c r="A302" s="107" t="s">
        <v>848</v>
      </c>
      <c r="B302" s="109" t="s">
        <v>172</v>
      </c>
      <c r="C302" s="109" t="s">
        <v>141</v>
      </c>
      <c r="D302" s="109" t="s">
        <v>849</v>
      </c>
      <c r="E302" s="85"/>
      <c r="F302" s="243">
        <f>F303+F305</f>
        <v>0</v>
      </c>
      <c r="G302" s="243">
        <f>G303+G305</f>
        <v>0</v>
      </c>
      <c r="H302" s="243"/>
      <c r="I302" s="379" t="e">
        <f t="shared" si="17"/>
        <v>#DIV/0!</v>
      </c>
      <c r="J302" s="379" t="e">
        <f t="shared" si="18"/>
        <v>#DIV/0!</v>
      </c>
    </row>
    <row r="303" spans="1:10" s="130" customFormat="1" ht="72.75" hidden="1">
      <c r="A303" s="95" t="s">
        <v>850</v>
      </c>
      <c r="B303" s="109" t="s">
        <v>172</v>
      </c>
      <c r="C303" s="109" t="s">
        <v>141</v>
      </c>
      <c r="D303" s="109" t="s">
        <v>851</v>
      </c>
      <c r="E303" s="85"/>
      <c r="F303" s="243">
        <f>F304</f>
        <v>0</v>
      </c>
      <c r="G303" s="243">
        <f>G304</f>
        <v>0</v>
      </c>
      <c r="H303" s="90"/>
      <c r="I303" s="379" t="e">
        <f t="shared" si="17"/>
        <v>#DIV/0!</v>
      </c>
      <c r="J303" s="379" t="e">
        <f t="shared" si="18"/>
        <v>#DIV/0!</v>
      </c>
    </row>
    <row r="304" spans="1:10" s="130" customFormat="1" ht="15.75" hidden="1">
      <c r="A304" s="95" t="s">
        <v>852</v>
      </c>
      <c r="B304" s="109" t="s">
        <v>172</v>
      </c>
      <c r="C304" s="109" t="s">
        <v>141</v>
      </c>
      <c r="D304" s="109" t="s">
        <v>851</v>
      </c>
      <c r="E304" s="85" t="s">
        <v>853</v>
      </c>
      <c r="F304" s="90"/>
      <c r="G304" s="90"/>
      <c r="H304" s="248"/>
      <c r="I304" s="379" t="e">
        <f t="shared" si="17"/>
        <v>#DIV/0!</v>
      </c>
      <c r="J304" s="379" t="e">
        <f t="shared" si="18"/>
        <v>#DIV/0!</v>
      </c>
    </row>
    <row r="305" spans="1:10" s="130" customFormat="1" ht="15.75" hidden="1">
      <c r="A305" s="107" t="s">
        <v>854</v>
      </c>
      <c r="B305" s="109" t="s">
        <v>172</v>
      </c>
      <c r="C305" s="109" t="s">
        <v>141</v>
      </c>
      <c r="D305" s="109" t="s">
        <v>855</v>
      </c>
      <c r="E305" s="85"/>
      <c r="F305" s="243">
        <f>F306</f>
        <v>0</v>
      </c>
      <c r="G305" s="243">
        <f>G306</f>
        <v>0</v>
      </c>
      <c r="H305" s="243"/>
      <c r="I305" s="379" t="e">
        <f t="shared" si="17"/>
        <v>#DIV/0!</v>
      </c>
      <c r="J305" s="379" t="e">
        <f t="shared" si="18"/>
        <v>#DIV/0!</v>
      </c>
    </row>
    <row r="306" spans="1:10" s="130" customFormat="1" ht="36.75" hidden="1">
      <c r="A306" s="95" t="s">
        <v>856</v>
      </c>
      <c r="B306" s="109" t="s">
        <v>172</v>
      </c>
      <c r="C306" s="109" t="s">
        <v>141</v>
      </c>
      <c r="D306" s="109" t="s">
        <v>857</v>
      </c>
      <c r="E306" s="173"/>
      <c r="F306" s="243">
        <f>F307+F308</f>
        <v>0</v>
      </c>
      <c r="G306" s="243">
        <f>G307+G308</f>
        <v>0</v>
      </c>
      <c r="H306" s="248"/>
      <c r="I306" s="379" t="e">
        <f t="shared" si="17"/>
        <v>#DIV/0!</v>
      </c>
      <c r="J306" s="379" t="e">
        <f t="shared" si="18"/>
        <v>#DIV/0!</v>
      </c>
    </row>
    <row r="307" spans="1:10" s="130" customFormat="1" ht="60.75" hidden="1">
      <c r="A307" s="95" t="s">
        <v>858</v>
      </c>
      <c r="B307" s="109" t="s">
        <v>172</v>
      </c>
      <c r="C307" s="109" t="s">
        <v>141</v>
      </c>
      <c r="D307" s="109" t="s">
        <v>857</v>
      </c>
      <c r="E307" s="85" t="s">
        <v>859</v>
      </c>
      <c r="F307" s="90"/>
      <c r="G307" s="90"/>
      <c r="H307" s="243"/>
      <c r="I307" s="379" t="e">
        <f t="shared" si="17"/>
        <v>#DIV/0!</v>
      </c>
      <c r="J307" s="379" t="e">
        <f t="shared" si="18"/>
        <v>#DIV/0!</v>
      </c>
    </row>
    <row r="308" spans="1:10" s="130" customFormat="1" ht="60.75" hidden="1">
      <c r="A308" s="95" t="s">
        <v>860</v>
      </c>
      <c r="B308" s="109" t="s">
        <v>172</v>
      </c>
      <c r="C308" s="109" t="s">
        <v>141</v>
      </c>
      <c r="D308" s="109" t="s">
        <v>857</v>
      </c>
      <c r="E308" s="85" t="s">
        <v>326</v>
      </c>
      <c r="F308" s="90"/>
      <c r="G308" s="90"/>
      <c r="H308" s="243"/>
      <c r="I308" s="379" t="e">
        <f t="shared" si="17"/>
        <v>#DIV/0!</v>
      </c>
      <c r="J308" s="379" t="e">
        <f t="shared" si="18"/>
        <v>#DIV/0!</v>
      </c>
    </row>
    <row r="309" spans="1:10" s="130" customFormat="1" ht="25.5" customHeight="1" hidden="1">
      <c r="A309" s="107" t="s">
        <v>909</v>
      </c>
      <c r="B309" s="109" t="s">
        <v>172</v>
      </c>
      <c r="C309" s="109" t="s">
        <v>141</v>
      </c>
      <c r="D309" s="109" t="s">
        <v>910</v>
      </c>
      <c r="E309" s="109"/>
      <c r="F309" s="243">
        <f>SUM(F310:F310)</f>
        <v>0</v>
      </c>
      <c r="G309" s="243">
        <f>SUM(G310:G310)</f>
        <v>0</v>
      </c>
      <c r="H309" s="90"/>
      <c r="I309" s="379" t="e">
        <f t="shared" si="17"/>
        <v>#DIV/0!</v>
      </c>
      <c r="J309" s="379" t="e">
        <f t="shared" si="18"/>
        <v>#DIV/0!</v>
      </c>
    </row>
    <row r="310" spans="1:10" s="134" customFormat="1" ht="36.75" hidden="1">
      <c r="A310" s="112" t="s">
        <v>861</v>
      </c>
      <c r="B310" s="109" t="s">
        <v>172</v>
      </c>
      <c r="C310" s="109" t="s">
        <v>141</v>
      </c>
      <c r="D310" s="109" t="s">
        <v>862</v>
      </c>
      <c r="E310" s="85" t="s">
        <v>1071</v>
      </c>
      <c r="F310" s="243">
        <f>F311+F312</f>
        <v>0</v>
      </c>
      <c r="G310" s="243">
        <f>G311+G312</f>
        <v>0</v>
      </c>
      <c r="H310" s="243"/>
      <c r="I310" s="379" t="e">
        <f t="shared" si="17"/>
        <v>#DIV/0!</v>
      </c>
      <c r="J310" s="379" t="e">
        <f t="shared" si="18"/>
        <v>#DIV/0!</v>
      </c>
    </row>
    <row r="311" spans="1:10" s="130" customFormat="1" ht="45" customHeight="1" hidden="1">
      <c r="A311" s="278" t="s">
        <v>863</v>
      </c>
      <c r="B311" s="109" t="s">
        <v>172</v>
      </c>
      <c r="C311" s="109" t="s">
        <v>141</v>
      </c>
      <c r="D311" s="109" t="s">
        <v>862</v>
      </c>
      <c r="E311" s="85" t="s">
        <v>859</v>
      </c>
      <c r="F311" s="90">
        <f>436-156-280</f>
        <v>0</v>
      </c>
      <c r="G311" s="90">
        <f>436-156-280</f>
        <v>0</v>
      </c>
      <c r="H311" s="243"/>
      <c r="I311" s="379" t="e">
        <f t="shared" si="17"/>
        <v>#DIV/0!</v>
      </c>
      <c r="J311" s="379" t="e">
        <f t="shared" si="18"/>
        <v>#DIV/0!</v>
      </c>
    </row>
    <row r="312" spans="1:10" s="130" customFormat="1" ht="22.5" customHeight="1" hidden="1">
      <c r="A312" s="278" t="s">
        <v>76</v>
      </c>
      <c r="B312" s="109" t="s">
        <v>172</v>
      </c>
      <c r="C312" s="109" t="s">
        <v>141</v>
      </c>
      <c r="D312" s="109" t="s">
        <v>862</v>
      </c>
      <c r="E312" s="85" t="s">
        <v>326</v>
      </c>
      <c r="F312" s="90"/>
      <c r="G312" s="90"/>
      <c r="H312" s="90"/>
      <c r="I312" s="379" t="e">
        <f t="shared" si="17"/>
        <v>#DIV/0!</v>
      </c>
      <c r="J312" s="379" t="e">
        <f t="shared" si="18"/>
        <v>#DIV/0!</v>
      </c>
    </row>
    <row r="313" spans="1:10" s="130" customFormat="1" ht="22.5" customHeight="1" hidden="1">
      <c r="A313" s="92" t="s">
        <v>185</v>
      </c>
      <c r="B313" s="109" t="s">
        <v>172</v>
      </c>
      <c r="C313" s="109" t="s">
        <v>141</v>
      </c>
      <c r="D313" s="109" t="s">
        <v>1046</v>
      </c>
      <c r="E313" s="85" t="s">
        <v>186</v>
      </c>
      <c r="F313" s="90">
        <f>11909.9-300-11609.9</f>
        <v>0</v>
      </c>
      <c r="G313" s="90">
        <f>11909.9-300-11609.9</f>
        <v>0</v>
      </c>
      <c r="H313" s="90"/>
      <c r="I313" s="379" t="e">
        <f t="shared" si="17"/>
        <v>#DIV/0!</v>
      </c>
      <c r="J313" s="379" t="e">
        <f t="shared" si="18"/>
        <v>#DIV/0!</v>
      </c>
    </row>
    <row r="314" spans="1:10" s="130" customFormat="1" ht="40.5" customHeight="1">
      <c r="A314" s="92" t="s">
        <v>185</v>
      </c>
      <c r="B314" s="109" t="s">
        <v>172</v>
      </c>
      <c r="C314" s="109" t="s">
        <v>141</v>
      </c>
      <c r="D314" s="109" t="s">
        <v>1046</v>
      </c>
      <c r="E314" s="85" t="s">
        <v>186</v>
      </c>
      <c r="F314" s="90"/>
      <c r="G314" s="90">
        <f>2125-1820.2</f>
        <v>304.79999999999995</v>
      </c>
      <c r="H314" s="243"/>
      <c r="I314" s="379"/>
      <c r="J314" s="379">
        <f t="shared" si="18"/>
        <v>0</v>
      </c>
    </row>
    <row r="315" spans="1:10" s="130" customFormat="1" ht="17.25" customHeight="1">
      <c r="A315" s="107" t="s">
        <v>909</v>
      </c>
      <c r="B315" s="85" t="s">
        <v>172</v>
      </c>
      <c r="C315" s="85" t="s">
        <v>141</v>
      </c>
      <c r="D315" s="109" t="s">
        <v>910</v>
      </c>
      <c r="E315" s="85"/>
      <c r="F315" s="243">
        <f>F316+F318</f>
        <v>0</v>
      </c>
      <c r="G315" s="243">
        <f>G316+G318</f>
        <v>30438.100000000002</v>
      </c>
      <c r="H315" s="243">
        <f>H316+H318</f>
        <v>26450.8</v>
      </c>
      <c r="I315" s="379"/>
      <c r="J315" s="379">
        <f t="shared" si="18"/>
        <v>86.90029929594816</v>
      </c>
    </row>
    <row r="316" spans="1:10" s="130" customFormat="1" ht="18.75" customHeight="1">
      <c r="A316" s="92" t="s">
        <v>1738</v>
      </c>
      <c r="B316" s="85" t="s">
        <v>172</v>
      </c>
      <c r="C316" s="85" t="s">
        <v>141</v>
      </c>
      <c r="D316" s="109" t="s">
        <v>1739</v>
      </c>
      <c r="E316" s="85" t="s">
        <v>1071</v>
      </c>
      <c r="F316" s="243">
        <f>F317</f>
        <v>0</v>
      </c>
      <c r="G316" s="243">
        <f>G317</f>
        <v>28102.100000000002</v>
      </c>
      <c r="H316" s="243">
        <f>H317</f>
        <v>24127</v>
      </c>
      <c r="I316" s="379"/>
      <c r="J316" s="379">
        <f t="shared" si="18"/>
        <v>85.8547937698606</v>
      </c>
    </row>
    <row r="317" spans="1:10" s="130" customFormat="1" ht="24">
      <c r="A317" s="92" t="s">
        <v>185</v>
      </c>
      <c r="B317" s="85" t="s">
        <v>172</v>
      </c>
      <c r="C317" s="85" t="s">
        <v>141</v>
      </c>
      <c r="D317" s="109" t="s">
        <v>1739</v>
      </c>
      <c r="E317" s="85" t="s">
        <v>186</v>
      </c>
      <c r="F317" s="90"/>
      <c r="G317" s="90">
        <f>1187.8+17945.2+11609.9-4125+1484.2</f>
        <v>28102.100000000002</v>
      </c>
      <c r="H317" s="90">
        <v>24127</v>
      </c>
      <c r="I317" s="379"/>
      <c r="J317" s="379">
        <f t="shared" si="18"/>
        <v>85.8547937698606</v>
      </c>
    </row>
    <row r="318" spans="1:10" s="130" customFormat="1" ht="36">
      <c r="A318" s="92" t="s">
        <v>1740</v>
      </c>
      <c r="B318" s="85" t="s">
        <v>172</v>
      </c>
      <c r="C318" s="85" t="s">
        <v>141</v>
      </c>
      <c r="D318" s="109" t="s">
        <v>1741</v>
      </c>
      <c r="E318" s="85" t="s">
        <v>1071</v>
      </c>
      <c r="F318" s="243">
        <f>F319+F320</f>
        <v>0</v>
      </c>
      <c r="G318" s="243">
        <f>G319+G320</f>
        <v>2336</v>
      </c>
      <c r="H318" s="243">
        <f>H319+H320</f>
        <v>2323.8</v>
      </c>
      <c r="I318" s="379"/>
      <c r="J318" s="379">
        <f t="shared" si="18"/>
        <v>99.47773972602741</v>
      </c>
    </row>
    <row r="319" spans="1:10" s="130" customFormat="1" ht="15">
      <c r="A319" s="112" t="s">
        <v>1729</v>
      </c>
      <c r="B319" s="85" t="s">
        <v>172</v>
      </c>
      <c r="C319" s="85" t="s">
        <v>141</v>
      </c>
      <c r="D319" s="109" t="s">
        <v>1741</v>
      </c>
      <c r="E319" s="85" t="s">
        <v>1837</v>
      </c>
      <c r="F319" s="90"/>
      <c r="G319" s="90">
        <v>2336</v>
      </c>
      <c r="H319" s="90">
        <v>2323.8</v>
      </c>
      <c r="I319" s="379"/>
      <c r="J319" s="379">
        <f t="shared" si="18"/>
        <v>99.47773972602741</v>
      </c>
    </row>
    <row r="320" spans="1:10" s="130" customFormat="1" ht="24" hidden="1">
      <c r="A320" s="92" t="s">
        <v>185</v>
      </c>
      <c r="B320" s="85" t="s">
        <v>172</v>
      </c>
      <c r="C320" s="85" t="s">
        <v>141</v>
      </c>
      <c r="D320" s="109" t="s">
        <v>1741</v>
      </c>
      <c r="E320" s="85" t="s">
        <v>186</v>
      </c>
      <c r="F320" s="90">
        <f>2000-2000</f>
        <v>0</v>
      </c>
      <c r="G320" s="90">
        <f>2000-2000</f>
        <v>0</v>
      </c>
      <c r="H320" s="243"/>
      <c r="I320" s="379" t="e">
        <f t="shared" si="17"/>
        <v>#DIV/0!</v>
      </c>
      <c r="J320" s="379" t="e">
        <f t="shared" si="18"/>
        <v>#DIV/0!</v>
      </c>
    </row>
    <row r="321" spans="1:10" s="130" customFormat="1" ht="15">
      <c r="A321" s="115" t="s">
        <v>1287</v>
      </c>
      <c r="B321" s="85" t="s">
        <v>172</v>
      </c>
      <c r="C321" s="85" t="s">
        <v>142</v>
      </c>
      <c r="D321" s="85"/>
      <c r="E321" s="85"/>
      <c r="F321" s="243">
        <f>F322+F325+F328+F333+F336+F338</f>
        <v>19318.8</v>
      </c>
      <c r="G321" s="243">
        <f>G322+G325+G328+G333+G336+G338</f>
        <v>39937.2</v>
      </c>
      <c r="H321" s="243">
        <f>H322+H325+H328+H333+H336+H338</f>
        <v>36929.1</v>
      </c>
      <c r="I321" s="379">
        <f t="shared" si="17"/>
        <v>191.15628299894402</v>
      </c>
      <c r="J321" s="379">
        <f t="shared" si="18"/>
        <v>92.46792464168745</v>
      </c>
    </row>
    <row r="322" spans="1:10" s="130" customFormat="1" ht="15.75" hidden="1">
      <c r="A322" s="177" t="s">
        <v>321</v>
      </c>
      <c r="B322" s="85" t="s">
        <v>172</v>
      </c>
      <c r="C322" s="85" t="s">
        <v>142</v>
      </c>
      <c r="D322" s="85" t="s">
        <v>322</v>
      </c>
      <c r="E322" s="85"/>
      <c r="F322" s="243">
        <f aca="true" t="shared" si="19" ref="F322:H323">F323</f>
        <v>0</v>
      </c>
      <c r="G322" s="243">
        <f t="shared" si="19"/>
        <v>0</v>
      </c>
      <c r="H322" s="243">
        <f t="shared" si="19"/>
        <v>0</v>
      </c>
      <c r="I322" s="379" t="e">
        <f t="shared" si="17"/>
        <v>#DIV/0!</v>
      </c>
      <c r="J322" s="379" t="e">
        <f t="shared" si="18"/>
        <v>#DIV/0!</v>
      </c>
    </row>
    <row r="323" spans="1:10" s="130" customFormat="1" ht="15.75" hidden="1">
      <c r="A323" s="177" t="s">
        <v>323</v>
      </c>
      <c r="B323" s="85" t="s">
        <v>172</v>
      </c>
      <c r="C323" s="85" t="s">
        <v>142</v>
      </c>
      <c r="D323" s="85" t="s">
        <v>324</v>
      </c>
      <c r="E323" s="85" t="s">
        <v>1071</v>
      </c>
      <c r="F323" s="243">
        <f t="shared" si="19"/>
        <v>0</v>
      </c>
      <c r="G323" s="243">
        <f t="shared" si="19"/>
        <v>0</v>
      </c>
      <c r="H323" s="243">
        <f t="shared" si="19"/>
        <v>0</v>
      </c>
      <c r="I323" s="379" t="e">
        <f t="shared" si="17"/>
        <v>#DIV/0!</v>
      </c>
      <c r="J323" s="379" t="e">
        <f t="shared" si="18"/>
        <v>#DIV/0!</v>
      </c>
    </row>
    <row r="324" spans="1:10" s="130" customFormat="1" ht="48.75" hidden="1">
      <c r="A324" s="177" t="s">
        <v>77</v>
      </c>
      <c r="B324" s="85" t="s">
        <v>172</v>
      </c>
      <c r="C324" s="85" t="s">
        <v>142</v>
      </c>
      <c r="D324" s="85" t="s">
        <v>324</v>
      </c>
      <c r="E324" s="85" t="s">
        <v>1879</v>
      </c>
      <c r="F324" s="90"/>
      <c r="G324" s="90"/>
      <c r="H324" s="90"/>
      <c r="I324" s="379" t="e">
        <f t="shared" si="17"/>
        <v>#DIV/0!</v>
      </c>
      <c r="J324" s="379" t="e">
        <f t="shared" si="18"/>
        <v>#DIV/0!</v>
      </c>
    </row>
    <row r="325" spans="1:10" s="130" customFormat="1" ht="24" hidden="1">
      <c r="A325" s="86" t="s">
        <v>937</v>
      </c>
      <c r="B325" s="85" t="s">
        <v>172</v>
      </c>
      <c r="C325" s="85" t="s">
        <v>142</v>
      </c>
      <c r="D325" s="85" t="s">
        <v>1049</v>
      </c>
      <c r="E325" s="85"/>
      <c r="F325" s="243">
        <f aca="true" t="shared" si="20" ref="F325:H326">F326</f>
        <v>0</v>
      </c>
      <c r="G325" s="243">
        <f t="shared" si="20"/>
        <v>0</v>
      </c>
      <c r="H325" s="243">
        <f t="shared" si="20"/>
        <v>0</v>
      </c>
      <c r="I325" s="379" t="e">
        <f t="shared" si="17"/>
        <v>#DIV/0!</v>
      </c>
      <c r="J325" s="379" t="e">
        <f t="shared" si="18"/>
        <v>#DIV/0!</v>
      </c>
    </row>
    <row r="326" spans="1:10" s="130" customFormat="1" ht="15.75" hidden="1">
      <c r="A326" s="92" t="s">
        <v>1742</v>
      </c>
      <c r="B326" s="85" t="s">
        <v>172</v>
      </c>
      <c r="C326" s="85" t="s">
        <v>142</v>
      </c>
      <c r="D326" s="85" t="s">
        <v>1049</v>
      </c>
      <c r="E326" s="85" t="s">
        <v>1879</v>
      </c>
      <c r="F326" s="90">
        <f t="shared" si="20"/>
        <v>0</v>
      </c>
      <c r="G326" s="90">
        <f t="shared" si="20"/>
        <v>0</v>
      </c>
      <c r="H326" s="90">
        <f t="shared" si="20"/>
        <v>0</v>
      </c>
      <c r="I326" s="379" t="e">
        <f t="shared" si="17"/>
        <v>#DIV/0!</v>
      </c>
      <c r="J326" s="379" t="e">
        <f t="shared" si="18"/>
        <v>#DIV/0!</v>
      </c>
    </row>
    <row r="327" spans="1:10" s="130" customFormat="1" ht="24" hidden="1">
      <c r="A327" s="92" t="s">
        <v>1743</v>
      </c>
      <c r="B327" s="85" t="s">
        <v>172</v>
      </c>
      <c r="C327" s="85" t="s">
        <v>142</v>
      </c>
      <c r="D327" s="85" t="s">
        <v>1049</v>
      </c>
      <c r="E327" s="85" t="s">
        <v>1879</v>
      </c>
      <c r="F327" s="90">
        <f>16403.4-16403.4</f>
        <v>0</v>
      </c>
      <c r="G327" s="90">
        <f>16403.4-16403.4</f>
        <v>0</v>
      </c>
      <c r="H327" s="90">
        <f>16403.4-16403.4</f>
        <v>0</v>
      </c>
      <c r="I327" s="379" t="e">
        <f t="shared" si="17"/>
        <v>#DIV/0!</v>
      </c>
      <c r="J327" s="379" t="e">
        <f t="shared" si="18"/>
        <v>#DIV/0!</v>
      </c>
    </row>
    <row r="328" spans="1:10" s="130" customFormat="1" ht="15">
      <c r="A328" s="93" t="s">
        <v>78</v>
      </c>
      <c r="B328" s="85" t="s">
        <v>172</v>
      </c>
      <c r="C328" s="85" t="s">
        <v>142</v>
      </c>
      <c r="D328" s="85" t="s">
        <v>1199</v>
      </c>
      <c r="E328" s="85"/>
      <c r="F328" s="243">
        <f>F329</f>
        <v>2895</v>
      </c>
      <c r="G328" s="243">
        <f>G329</f>
        <v>2895</v>
      </c>
      <c r="H328" s="243">
        <f>H329</f>
        <v>0</v>
      </c>
      <c r="I328" s="379">
        <f t="shared" si="17"/>
        <v>0</v>
      </c>
      <c r="J328" s="379">
        <f t="shared" si="18"/>
        <v>0</v>
      </c>
    </row>
    <row r="329" spans="1:10" s="130" customFormat="1" ht="15">
      <c r="A329" s="87" t="s">
        <v>1200</v>
      </c>
      <c r="B329" s="85" t="s">
        <v>172</v>
      </c>
      <c r="C329" s="85" t="s">
        <v>142</v>
      </c>
      <c r="D329" s="85" t="s">
        <v>512</v>
      </c>
      <c r="E329" s="85" t="s">
        <v>1071</v>
      </c>
      <c r="F329" s="243">
        <f>F330+F331+F332</f>
        <v>2895</v>
      </c>
      <c r="G329" s="243">
        <f>G330+G331+G332</f>
        <v>2895</v>
      </c>
      <c r="H329" s="243">
        <f>H330+H331+H332</f>
        <v>0</v>
      </c>
      <c r="I329" s="379">
        <f t="shared" si="17"/>
        <v>0</v>
      </c>
      <c r="J329" s="379">
        <f t="shared" si="18"/>
        <v>0</v>
      </c>
    </row>
    <row r="330" spans="1:10" s="130" customFormat="1" ht="24">
      <c r="A330" s="112" t="s">
        <v>1744</v>
      </c>
      <c r="B330" s="85" t="s">
        <v>172</v>
      </c>
      <c r="C330" s="85" t="s">
        <v>142</v>
      </c>
      <c r="D330" s="85" t="s">
        <v>512</v>
      </c>
      <c r="E330" s="85" t="s">
        <v>1881</v>
      </c>
      <c r="F330" s="90"/>
      <c r="G330" s="90"/>
      <c r="H330" s="243"/>
      <c r="I330" s="379"/>
      <c r="J330" s="379"/>
    </row>
    <row r="331" spans="1:10" s="130" customFormat="1" ht="15">
      <c r="A331" s="112" t="s">
        <v>1729</v>
      </c>
      <c r="B331" s="85" t="s">
        <v>172</v>
      </c>
      <c r="C331" s="85" t="s">
        <v>142</v>
      </c>
      <c r="D331" s="85" t="s">
        <v>512</v>
      </c>
      <c r="E331" s="85" t="s">
        <v>1837</v>
      </c>
      <c r="F331" s="90"/>
      <c r="G331" s="90">
        <v>2895</v>
      </c>
      <c r="H331" s="90"/>
      <c r="I331" s="379"/>
      <c r="J331" s="379"/>
    </row>
    <row r="332" spans="1:10" s="130" customFormat="1" ht="15">
      <c r="A332" s="95" t="s">
        <v>171</v>
      </c>
      <c r="B332" s="85" t="s">
        <v>172</v>
      </c>
      <c r="C332" s="85" t="s">
        <v>142</v>
      </c>
      <c r="D332" s="85" t="s">
        <v>512</v>
      </c>
      <c r="E332" s="85" t="s">
        <v>436</v>
      </c>
      <c r="F332" s="90">
        <v>2895</v>
      </c>
      <c r="G332" s="90"/>
      <c r="H332" s="90"/>
      <c r="I332" s="379"/>
      <c r="J332" s="379"/>
    </row>
    <row r="333" spans="1:10" s="130" customFormat="1" ht="15.75" hidden="1">
      <c r="A333" s="107" t="s">
        <v>854</v>
      </c>
      <c r="B333" s="109" t="s">
        <v>172</v>
      </c>
      <c r="C333" s="109" t="s">
        <v>142</v>
      </c>
      <c r="D333" s="109" t="s">
        <v>855</v>
      </c>
      <c r="E333" s="85"/>
      <c r="F333" s="243">
        <f>F334</f>
        <v>0</v>
      </c>
      <c r="G333" s="243">
        <f>G334</f>
        <v>0</v>
      </c>
      <c r="H333" s="243"/>
      <c r="I333" s="379"/>
      <c r="J333" s="379" t="e">
        <f t="shared" si="18"/>
        <v>#DIV/0!</v>
      </c>
    </row>
    <row r="334" spans="1:10" s="130" customFormat="1" ht="36.75" hidden="1">
      <c r="A334" s="95" t="s">
        <v>856</v>
      </c>
      <c r="B334" s="109" t="s">
        <v>172</v>
      </c>
      <c r="C334" s="109" t="s">
        <v>142</v>
      </c>
      <c r="D334" s="109" t="s">
        <v>857</v>
      </c>
      <c r="E334" s="173"/>
      <c r="F334" s="243">
        <f>F335</f>
        <v>0</v>
      </c>
      <c r="G334" s="243">
        <f>G335</f>
        <v>0</v>
      </c>
      <c r="H334" s="90"/>
      <c r="I334" s="379"/>
      <c r="J334" s="379" t="e">
        <f aca="true" t="shared" si="21" ref="J334:J394">H334/G334*100</f>
        <v>#DIV/0!</v>
      </c>
    </row>
    <row r="335" spans="1:10" s="130" customFormat="1" ht="48.75" hidden="1">
      <c r="A335" s="112" t="s">
        <v>1201</v>
      </c>
      <c r="B335" s="109" t="s">
        <v>172</v>
      </c>
      <c r="C335" s="109" t="s">
        <v>142</v>
      </c>
      <c r="D335" s="109" t="s">
        <v>857</v>
      </c>
      <c r="E335" s="85" t="s">
        <v>1202</v>
      </c>
      <c r="F335" s="90"/>
      <c r="G335" s="90"/>
      <c r="H335" s="90"/>
      <c r="I335" s="379"/>
      <c r="J335" s="379" t="e">
        <f t="shared" si="21"/>
        <v>#DIV/0!</v>
      </c>
    </row>
    <row r="336" spans="1:10" s="130" customFormat="1" ht="24">
      <c r="A336" s="92" t="s">
        <v>1664</v>
      </c>
      <c r="B336" s="85" t="s">
        <v>172</v>
      </c>
      <c r="C336" s="85" t="s">
        <v>142</v>
      </c>
      <c r="D336" s="109" t="s">
        <v>1665</v>
      </c>
      <c r="E336" s="85" t="s">
        <v>1071</v>
      </c>
      <c r="F336" s="243">
        <f>F337</f>
        <v>0</v>
      </c>
      <c r="G336" s="243">
        <f>G337</f>
        <v>350</v>
      </c>
      <c r="H336" s="243">
        <f>H337</f>
        <v>350</v>
      </c>
      <c r="I336" s="379"/>
      <c r="J336" s="379">
        <f t="shared" si="21"/>
        <v>100</v>
      </c>
    </row>
    <row r="337" spans="1:10" s="130" customFormat="1" ht="24">
      <c r="A337" s="87" t="s">
        <v>800</v>
      </c>
      <c r="B337" s="85" t="s">
        <v>172</v>
      </c>
      <c r="C337" s="85" t="s">
        <v>142</v>
      </c>
      <c r="D337" s="109" t="s">
        <v>1665</v>
      </c>
      <c r="E337" s="85" t="s">
        <v>801</v>
      </c>
      <c r="F337" s="90"/>
      <c r="G337" s="90">
        <v>350</v>
      </c>
      <c r="H337" s="90">
        <v>350</v>
      </c>
      <c r="I337" s="379"/>
      <c r="J337" s="379">
        <f t="shared" si="21"/>
        <v>100</v>
      </c>
    </row>
    <row r="338" spans="1:10" s="130" customFormat="1" ht="15">
      <c r="A338" s="107" t="s">
        <v>909</v>
      </c>
      <c r="B338" s="85" t="s">
        <v>172</v>
      </c>
      <c r="C338" s="85" t="s">
        <v>142</v>
      </c>
      <c r="D338" s="109" t="s">
        <v>910</v>
      </c>
      <c r="E338" s="109"/>
      <c r="F338" s="243">
        <f>F339+F344</f>
        <v>16423.8</v>
      </c>
      <c r="G338" s="243">
        <f>G339+G344</f>
        <v>36692.2</v>
      </c>
      <c r="H338" s="243">
        <f>H339+H344</f>
        <v>36579.1</v>
      </c>
      <c r="I338" s="421" t="s">
        <v>1212</v>
      </c>
      <c r="J338" s="379">
        <f t="shared" si="21"/>
        <v>99.69176010160197</v>
      </c>
    </row>
    <row r="339" spans="1:10" s="130" customFormat="1" ht="24">
      <c r="A339" s="112" t="s">
        <v>226</v>
      </c>
      <c r="B339" s="85" t="s">
        <v>172</v>
      </c>
      <c r="C339" s="85" t="s">
        <v>142</v>
      </c>
      <c r="D339" s="109" t="s">
        <v>802</v>
      </c>
      <c r="E339" s="85" t="s">
        <v>1071</v>
      </c>
      <c r="F339" s="243">
        <f>F340</f>
        <v>16423.8</v>
      </c>
      <c r="G339" s="243">
        <f>G340</f>
        <v>32960.7</v>
      </c>
      <c r="H339" s="243">
        <f>H340</f>
        <v>32847.6</v>
      </c>
      <c r="I339" s="421" t="s">
        <v>1212</v>
      </c>
      <c r="J339" s="379">
        <f t="shared" si="21"/>
        <v>99.65686408359046</v>
      </c>
    </row>
    <row r="340" spans="1:10" s="130" customFormat="1" ht="24">
      <c r="A340" s="92" t="s">
        <v>185</v>
      </c>
      <c r="B340" s="85" t="s">
        <v>172</v>
      </c>
      <c r="C340" s="85" t="s">
        <v>142</v>
      </c>
      <c r="D340" s="109" t="s">
        <v>802</v>
      </c>
      <c r="E340" s="85" t="s">
        <v>186</v>
      </c>
      <c r="F340" s="243">
        <f>F341+F342+F343</f>
        <v>16423.8</v>
      </c>
      <c r="G340" s="243">
        <f>G341+G342+G343</f>
        <v>32960.7</v>
      </c>
      <c r="H340" s="243">
        <f>H341+H342+H343</f>
        <v>32847.6</v>
      </c>
      <c r="I340" s="421" t="s">
        <v>1212</v>
      </c>
      <c r="J340" s="379">
        <f t="shared" si="21"/>
        <v>99.65686408359046</v>
      </c>
    </row>
    <row r="341" spans="1:10" s="130" customFormat="1" ht="24">
      <c r="A341" s="357" t="s">
        <v>803</v>
      </c>
      <c r="B341" s="85" t="s">
        <v>172</v>
      </c>
      <c r="C341" s="85" t="s">
        <v>142</v>
      </c>
      <c r="D341" s="109" t="s">
        <v>802</v>
      </c>
      <c r="E341" s="85" t="s">
        <v>1881</v>
      </c>
      <c r="F341" s="90"/>
      <c r="G341" s="90">
        <f>16423.8+16423.8</f>
        <v>32847.6</v>
      </c>
      <c r="H341" s="90">
        <v>32847.6</v>
      </c>
      <c r="I341" s="379"/>
      <c r="J341" s="379">
        <f t="shared" si="21"/>
        <v>100</v>
      </c>
    </row>
    <row r="342" spans="1:10" s="130" customFormat="1" ht="24">
      <c r="A342" s="357" t="s">
        <v>804</v>
      </c>
      <c r="B342" s="85" t="s">
        <v>172</v>
      </c>
      <c r="C342" s="85" t="s">
        <v>142</v>
      </c>
      <c r="D342" s="109" t="s">
        <v>802</v>
      </c>
      <c r="E342" s="85" t="s">
        <v>1881</v>
      </c>
      <c r="F342" s="90">
        <v>16423.8</v>
      </c>
      <c r="G342" s="90"/>
      <c r="H342" s="90"/>
      <c r="I342" s="379">
        <f>H342/F342*100</f>
        <v>0</v>
      </c>
      <c r="J342" s="379"/>
    </row>
    <row r="343" spans="1:10" s="130" customFormat="1" ht="24">
      <c r="A343" s="357" t="s">
        <v>804</v>
      </c>
      <c r="B343" s="85" t="s">
        <v>172</v>
      </c>
      <c r="C343" s="85" t="s">
        <v>142</v>
      </c>
      <c r="D343" s="109" t="s">
        <v>802</v>
      </c>
      <c r="E343" s="85" t="s">
        <v>186</v>
      </c>
      <c r="F343" s="90"/>
      <c r="G343" s="90">
        <f>113.1</f>
        <v>113.1</v>
      </c>
      <c r="H343" s="243"/>
      <c r="I343" s="379"/>
      <c r="J343" s="379">
        <f t="shared" si="21"/>
        <v>0</v>
      </c>
    </row>
    <row r="344" spans="1:10" s="130" customFormat="1" ht="24">
      <c r="A344" s="357" t="s">
        <v>805</v>
      </c>
      <c r="B344" s="85" t="s">
        <v>172</v>
      </c>
      <c r="C344" s="85" t="s">
        <v>142</v>
      </c>
      <c r="D344" s="109" t="s">
        <v>806</v>
      </c>
      <c r="E344" s="85" t="s">
        <v>1071</v>
      </c>
      <c r="F344" s="243">
        <f>F345</f>
        <v>0</v>
      </c>
      <c r="G344" s="243">
        <f>G345</f>
        <v>3731.5</v>
      </c>
      <c r="H344" s="243">
        <f>H345</f>
        <v>3731.5</v>
      </c>
      <c r="I344" s="379"/>
      <c r="J344" s="379">
        <f t="shared" si="21"/>
        <v>100</v>
      </c>
    </row>
    <row r="345" spans="1:10" s="130" customFormat="1" ht="24">
      <c r="A345" s="92" t="s">
        <v>185</v>
      </c>
      <c r="B345" s="85" t="s">
        <v>172</v>
      </c>
      <c r="C345" s="85" t="s">
        <v>142</v>
      </c>
      <c r="D345" s="109" t="s">
        <v>806</v>
      </c>
      <c r="E345" s="85" t="s">
        <v>186</v>
      </c>
      <c r="F345" s="90"/>
      <c r="G345" s="90">
        <f>2833+898.5</f>
        <v>3731.5</v>
      </c>
      <c r="H345" s="90">
        <v>3731.5</v>
      </c>
      <c r="I345" s="379"/>
      <c r="J345" s="379">
        <f t="shared" si="21"/>
        <v>100</v>
      </c>
    </row>
    <row r="346" spans="1:10" s="130" customFormat="1" ht="15">
      <c r="A346" s="106" t="s">
        <v>1288</v>
      </c>
      <c r="B346" s="85" t="s">
        <v>172</v>
      </c>
      <c r="C346" s="85" t="s">
        <v>1598</v>
      </c>
      <c r="D346" s="109"/>
      <c r="E346" s="85"/>
      <c r="F346" s="243">
        <f>F347+F351+F354+F376</f>
        <v>147824</v>
      </c>
      <c r="G346" s="243">
        <f>G347+G351+G354+G376</f>
        <v>190669.3</v>
      </c>
      <c r="H346" s="243">
        <f>H347+H351+H354+H376</f>
        <v>186659.3</v>
      </c>
      <c r="I346" s="379">
        <f>H346/F346*100</f>
        <v>126.27130912436411</v>
      </c>
      <c r="J346" s="379">
        <f t="shared" si="21"/>
        <v>97.89688219341026</v>
      </c>
    </row>
    <row r="347" spans="1:10" s="130" customFormat="1" ht="24">
      <c r="A347" s="86" t="s">
        <v>220</v>
      </c>
      <c r="B347" s="109" t="s">
        <v>172</v>
      </c>
      <c r="C347" s="109" t="s">
        <v>1598</v>
      </c>
      <c r="D347" s="85" t="s">
        <v>936</v>
      </c>
      <c r="E347" s="109"/>
      <c r="F347" s="243">
        <f>F348</f>
        <v>15000</v>
      </c>
      <c r="G347" s="243">
        <f>G348</f>
        <v>15000</v>
      </c>
      <c r="H347" s="243">
        <f>H348</f>
        <v>14930.2</v>
      </c>
      <c r="I347" s="379">
        <f>H347/F347*100</f>
        <v>99.53466666666667</v>
      </c>
      <c r="J347" s="379">
        <f t="shared" si="21"/>
        <v>99.53466666666667</v>
      </c>
    </row>
    <row r="348" spans="1:10" s="130" customFormat="1" ht="24">
      <c r="A348" s="92" t="s">
        <v>937</v>
      </c>
      <c r="B348" s="109" t="s">
        <v>172</v>
      </c>
      <c r="C348" s="109" t="s">
        <v>1598</v>
      </c>
      <c r="D348" s="109" t="s">
        <v>1049</v>
      </c>
      <c r="E348" s="109" t="s">
        <v>1071</v>
      </c>
      <c r="F348" s="243">
        <f>F349+F350</f>
        <v>15000</v>
      </c>
      <c r="G348" s="243">
        <f>G349+G350</f>
        <v>15000</v>
      </c>
      <c r="H348" s="243">
        <f>H349+H350</f>
        <v>14930.2</v>
      </c>
      <c r="I348" s="379">
        <f>H348/F348*100</f>
        <v>99.53466666666667</v>
      </c>
      <c r="J348" s="379">
        <f t="shared" si="21"/>
        <v>99.53466666666667</v>
      </c>
    </row>
    <row r="349" spans="1:10" s="130" customFormat="1" ht="15">
      <c r="A349" s="92" t="s">
        <v>807</v>
      </c>
      <c r="B349" s="109" t="s">
        <v>172</v>
      </c>
      <c r="C349" s="109" t="s">
        <v>1598</v>
      </c>
      <c r="D349" s="109" t="s">
        <v>1049</v>
      </c>
      <c r="E349" s="109" t="s">
        <v>1879</v>
      </c>
      <c r="F349" s="90">
        <v>15000</v>
      </c>
      <c r="G349" s="90"/>
      <c r="H349" s="90"/>
      <c r="I349" s="379">
        <f>H349/F349*100</f>
        <v>0</v>
      </c>
      <c r="J349" s="379"/>
    </row>
    <row r="350" spans="1:10" s="130" customFormat="1" ht="24">
      <c r="A350" s="92" t="s">
        <v>884</v>
      </c>
      <c r="B350" s="109" t="s">
        <v>172</v>
      </c>
      <c r="C350" s="109" t="s">
        <v>1598</v>
      </c>
      <c r="D350" s="109" t="s">
        <v>1049</v>
      </c>
      <c r="E350" s="109" t="s">
        <v>883</v>
      </c>
      <c r="F350" s="90"/>
      <c r="G350" s="90">
        <v>15000</v>
      </c>
      <c r="H350" s="90">
        <v>14930.2</v>
      </c>
      <c r="I350" s="379"/>
      <c r="J350" s="379">
        <f t="shared" si="21"/>
        <v>99.53466666666667</v>
      </c>
    </row>
    <row r="351" spans="1:10" s="130" customFormat="1" ht="24">
      <c r="A351" s="92" t="s">
        <v>1664</v>
      </c>
      <c r="B351" s="109" t="s">
        <v>172</v>
      </c>
      <c r="C351" s="109" t="s">
        <v>1598</v>
      </c>
      <c r="D351" s="109" t="s">
        <v>1665</v>
      </c>
      <c r="E351" s="109" t="s">
        <v>1071</v>
      </c>
      <c r="F351" s="243">
        <f aca="true" t="shared" si="22" ref="F351:H352">F352</f>
        <v>0</v>
      </c>
      <c r="G351" s="243">
        <f t="shared" si="22"/>
        <v>1000</v>
      </c>
      <c r="H351" s="243">
        <f t="shared" si="22"/>
        <v>960.5</v>
      </c>
      <c r="I351" s="379"/>
      <c r="J351" s="379">
        <f t="shared" si="21"/>
        <v>96.05</v>
      </c>
    </row>
    <row r="352" spans="1:10" s="130" customFormat="1" ht="15">
      <c r="A352" s="87" t="s">
        <v>1640</v>
      </c>
      <c r="B352" s="109" t="s">
        <v>172</v>
      </c>
      <c r="C352" s="109" t="s">
        <v>1598</v>
      </c>
      <c r="D352" s="109" t="s">
        <v>1665</v>
      </c>
      <c r="E352" s="109" t="s">
        <v>1637</v>
      </c>
      <c r="F352" s="243">
        <f t="shared" si="22"/>
        <v>0</v>
      </c>
      <c r="G352" s="243">
        <f t="shared" si="22"/>
        <v>1000</v>
      </c>
      <c r="H352" s="243">
        <f t="shared" si="22"/>
        <v>960.5</v>
      </c>
      <c r="I352" s="379"/>
      <c r="J352" s="379">
        <f t="shared" si="21"/>
        <v>96.05</v>
      </c>
    </row>
    <row r="353" spans="1:10" s="130" customFormat="1" ht="15">
      <c r="A353" s="87" t="s">
        <v>808</v>
      </c>
      <c r="B353" s="109" t="s">
        <v>172</v>
      </c>
      <c r="C353" s="109" t="s">
        <v>1598</v>
      </c>
      <c r="D353" s="109" t="s">
        <v>1665</v>
      </c>
      <c r="E353" s="109" t="s">
        <v>1637</v>
      </c>
      <c r="F353" s="90"/>
      <c r="G353" s="90">
        <v>1000</v>
      </c>
      <c r="H353" s="90">
        <v>960.5</v>
      </c>
      <c r="I353" s="379"/>
      <c r="J353" s="379">
        <f t="shared" si="21"/>
        <v>96.05</v>
      </c>
    </row>
    <row r="354" spans="1:10" s="130" customFormat="1" ht="15">
      <c r="A354" s="86" t="s">
        <v>1288</v>
      </c>
      <c r="B354" s="85" t="s">
        <v>172</v>
      </c>
      <c r="C354" s="85" t="s">
        <v>1598</v>
      </c>
      <c r="D354" s="85" t="s">
        <v>1208</v>
      </c>
      <c r="E354" s="85"/>
      <c r="F354" s="243">
        <f>F355+F360+F363+F366+F358</f>
        <v>132824</v>
      </c>
      <c r="G354" s="243">
        <f>G355+G360+G363+G366+G358</f>
        <v>140662.09999999998</v>
      </c>
      <c r="H354" s="243">
        <f>H355+H360+H363+H366+H358</f>
        <v>136761.4</v>
      </c>
      <c r="I354" s="379">
        <f>H354/F354*100</f>
        <v>102.96437390832982</v>
      </c>
      <c r="J354" s="379">
        <f t="shared" si="21"/>
        <v>97.22690049416298</v>
      </c>
    </row>
    <row r="355" spans="1:10" s="130" customFormat="1" ht="15">
      <c r="A355" s="87" t="s">
        <v>1209</v>
      </c>
      <c r="B355" s="85" t="s">
        <v>172</v>
      </c>
      <c r="C355" s="85" t="s">
        <v>1598</v>
      </c>
      <c r="D355" s="85" t="s">
        <v>1210</v>
      </c>
      <c r="E355" s="85" t="s">
        <v>1071</v>
      </c>
      <c r="F355" s="243">
        <f>F356+F357</f>
        <v>80140</v>
      </c>
      <c r="G355" s="243">
        <f>G356+G357</f>
        <v>80200</v>
      </c>
      <c r="H355" s="243">
        <f>H356+H357</f>
        <v>76821.5</v>
      </c>
      <c r="I355" s="379">
        <f>H355/F355*100</f>
        <v>95.8591215373097</v>
      </c>
      <c r="J355" s="379">
        <f t="shared" si="21"/>
        <v>95.78740648379053</v>
      </c>
    </row>
    <row r="356" spans="1:10" s="130" customFormat="1" ht="15">
      <c r="A356" s="112" t="s">
        <v>1729</v>
      </c>
      <c r="B356" s="85" t="s">
        <v>172</v>
      </c>
      <c r="C356" s="85" t="s">
        <v>1598</v>
      </c>
      <c r="D356" s="85" t="s">
        <v>1210</v>
      </c>
      <c r="E356" s="85" t="s">
        <v>1837</v>
      </c>
      <c r="F356" s="90"/>
      <c r="G356" s="90">
        <f>80140+60</f>
        <v>80200</v>
      </c>
      <c r="H356" s="90">
        <v>76821.5</v>
      </c>
      <c r="I356" s="379"/>
      <c r="J356" s="379">
        <f t="shared" si="21"/>
        <v>95.78740648379053</v>
      </c>
    </row>
    <row r="357" spans="1:10" s="130" customFormat="1" ht="15">
      <c r="A357" s="376" t="s">
        <v>171</v>
      </c>
      <c r="B357" s="85" t="s">
        <v>172</v>
      </c>
      <c r="C357" s="85" t="s">
        <v>1598</v>
      </c>
      <c r="D357" s="85" t="s">
        <v>1210</v>
      </c>
      <c r="E357" s="85" t="s">
        <v>436</v>
      </c>
      <c r="F357" s="90">
        <v>80140</v>
      </c>
      <c r="G357" s="90"/>
      <c r="H357" s="90"/>
      <c r="I357" s="379">
        <f>H357/F357*100</f>
        <v>0</v>
      </c>
      <c r="J357" s="379"/>
    </row>
    <row r="358" spans="1:10" s="130" customFormat="1" ht="36">
      <c r="A358" s="112" t="s">
        <v>809</v>
      </c>
      <c r="B358" s="85" t="s">
        <v>172</v>
      </c>
      <c r="C358" s="85" t="s">
        <v>1598</v>
      </c>
      <c r="D358" s="85" t="s">
        <v>810</v>
      </c>
      <c r="E358" s="85" t="s">
        <v>1071</v>
      </c>
      <c r="F358" s="243">
        <f>F359</f>
        <v>0</v>
      </c>
      <c r="G358" s="243">
        <f>G359</f>
        <v>390</v>
      </c>
      <c r="H358" s="243">
        <f>H359</f>
        <v>0</v>
      </c>
      <c r="I358" s="379"/>
      <c r="J358" s="379">
        <f t="shared" si="21"/>
        <v>0</v>
      </c>
    </row>
    <row r="359" spans="1:10" s="130" customFormat="1" ht="22.5" customHeight="1">
      <c r="A359" s="112" t="s">
        <v>87</v>
      </c>
      <c r="B359" s="85" t="s">
        <v>172</v>
      </c>
      <c r="C359" s="85" t="s">
        <v>1598</v>
      </c>
      <c r="D359" s="85" t="s">
        <v>810</v>
      </c>
      <c r="E359" s="85" t="s">
        <v>88</v>
      </c>
      <c r="F359" s="90"/>
      <c r="G359" s="90">
        <v>390</v>
      </c>
      <c r="H359" s="243"/>
      <c r="I359" s="379"/>
      <c r="J359" s="379">
        <f t="shared" si="21"/>
        <v>0</v>
      </c>
    </row>
    <row r="360" spans="1:10" s="130" customFormat="1" ht="29.25" customHeight="1">
      <c r="A360" s="92" t="s">
        <v>905</v>
      </c>
      <c r="B360" s="85" t="s">
        <v>172</v>
      </c>
      <c r="C360" s="85" t="s">
        <v>1598</v>
      </c>
      <c r="D360" s="85" t="s">
        <v>1211</v>
      </c>
      <c r="E360" s="85" t="s">
        <v>1071</v>
      </c>
      <c r="F360" s="243">
        <f aca="true" t="shared" si="23" ref="F360:H361">F361</f>
        <v>13120</v>
      </c>
      <c r="G360" s="243">
        <f t="shared" si="23"/>
        <v>13120</v>
      </c>
      <c r="H360" s="243">
        <f t="shared" si="23"/>
        <v>13118.1</v>
      </c>
      <c r="I360" s="379">
        <f aca="true" t="shared" si="24" ref="I360:I366">H360/F360*100</f>
        <v>99.98551829268293</v>
      </c>
      <c r="J360" s="379">
        <f t="shared" si="21"/>
        <v>99.98551829268293</v>
      </c>
    </row>
    <row r="361" spans="1:10" s="130" customFormat="1" ht="23.25" customHeight="1">
      <c r="A361" s="87" t="s">
        <v>743</v>
      </c>
      <c r="B361" s="85" t="s">
        <v>172</v>
      </c>
      <c r="C361" s="85" t="s">
        <v>1598</v>
      </c>
      <c r="D361" s="85" t="s">
        <v>1211</v>
      </c>
      <c r="E361" s="85" t="s">
        <v>744</v>
      </c>
      <c r="F361" s="243">
        <f t="shared" si="23"/>
        <v>13120</v>
      </c>
      <c r="G361" s="243">
        <f t="shared" si="23"/>
        <v>13120</v>
      </c>
      <c r="H361" s="243">
        <f t="shared" si="23"/>
        <v>13118.1</v>
      </c>
      <c r="I361" s="379">
        <f t="shared" si="24"/>
        <v>99.98551829268293</v>
      </c>
      <c r="J361" s="379">
        <f t="shared" si="21"/>
        <v>99.98551829268293</v>
      </c>
    </row>
    <row r="362" spans="1:10" s="130" customFormat="1" ht="24">
      <c r="A362" s="87" t="s">
        <v>745</v>
      </c>
      <c r="B362" s="85" t="s">
        <v>172</v>
      </c>
      <c r="C362" s="85" t="s">
        <v>1598</v>
      </c>
      <c r="D362" s="85" t="s">
        <v>1211</v>
      </c>
      <c r="E362" s="85" t="s">
        <v>746</v>
      </c>
      <c r="F362" s="90">
        <v>13120</v>
      </c>
      <c r="G362" s="90">
        <f>13120-3000+3000</f>
        <v>13120</v>
      </c>
      <c r="H362" s="90">
        <v>13118.1</v>
      </c>
      <c r="I362" s="379">
        <f t="shared" si="24"/>
        <v>99.98551829268293</v>
      </c>
      <c r="J362" s="379">
        <f t="shared" si="21"/>
        <v>99.98551829268293</v>
      </c>
    </row>
    <row r="363" spans="1:10" s="136" customFormat="1" ht="15">
      <c r="A363" s="92" t="s">
        <v>1386</v>
      </c>
      <c r="B363" s="85" t="s">
        <v>172</v>
      </c>
      <c r="C363" s="85" t="s">
        <v>1598</v>
      </c>
      <c r="D363" s="85" t="s">
        <v>1061</v>
      </c>
      <c r="E363" s="85" t="s">
        <v>1071</v>
      </c>
      <c r="F363" s="243">
        <f aca="true" t="shared" si="25" ref="F363:H364">F364</f>
        <v>12000</v>
      </c>
      <c r="G363" s="243">
        <f t="shared" si="25"/>
        <v>11326.7</v>
      </c>
      <c r="H363" s="243">
        <f t="shared" si="25"/>
        <v>11326.7</v>
      </c>
      <c r="I363" s="379">
        <f t="shared" si="24"/>
        <v>94.38916666666667</v>
      </c>
      <c r="J363" s="379">
        <f t="shared" si="21"/>
        <v>100</v>
      </c>
    </row>
    <row r="364" spans="1:10" s="130" customFormat="1" ht="15">
      <c r="A364" s="87" t="s">
        <v>743</v>
      </c>
      <c r="B364" s="85" t="s">
        <v>172</v>
      </c>
      <c r="C364" s="85" t="s">
        <v>1598</v>
      </c>
      <c r="D364" s="85" t="s">
        <v>1061</v>
      </c>
      <c r="E364" s="85" t="s">
        <v>744</v>
      </c>
      <c r="F364" s="243">
        <f t="shared" si="25"/>
        <v>12000</v>
      </c>
      <c r="G364" s="243">
        <f t="shared" si="25"/>
        <v>11326.7</v>
      </c>
      <c r="H364" s="243">
        <f t="shared" si="25"/>
        <v>11326.7</v>
      </c>
      <c r="I364" s="379">
        <f t="shared" si="24"/>
        <v>94.38916666666667</v>
      </c>
      <c r="J364" s="379">
        <f t="shared" si="21"/>
        <v>100</v>
      </c>
    </row>
    <row r="365" spans="1:10" s="130" customFormat="1" ht="24">
      <c r="A365" s="87" t="s">
        <v>745</v>
      </c>
      <c r="B365" s="85" t="s">
        <v>172</v>
      </c>
      <c r="C365" s="85" t="s">
        <v>1598</v>
      </c>
      <c r="D365" s="85" t="s">
        <v>1061</v>
      </c>
      <c r="E365" s="85" t="s">
        <v>746</v>
      </c>
      <c r="F365" s="90">
        <v>12000</v>
      </c>
      <c r="G365" s="90">
        <f>15000-3000-673.3</f>
        <v>11326.7</v>
      </c>
      <c r="H365" s="90">
        <v>11326.7</v>
      </c>
      <c r="I365" s="379">
        <f t="shared" si="24"/>
        <v>94.38916666666667</v>
      </c>
      <c r="J365" s="379">
        <f t="shared" si="21"/>
        <v>100</v>
      </c>
    </row>
    <row r="366" spans="1:10" s="130" customFormat="1" ht="23.25" customHeight="1">
      <c r="A366" s="87" t="s">
        <v>1387</v>
      </c>
      <c r="B366" s="85" t="s">
        <v>172</v>
      </c>
      <c r="C366" s="85" t="s">
        <v>1598</v>
      </c>
      <c r="D366" s="85" t="s">
        <v>1062</v>
      </c>
      <c r="E366" s="85" t="s">
        <v>1071</v>
      </c>
      <c r="F366" s="243">
        <f>F367+F368+F369</f>
        <v>27564</v>
      </c>
      <c r="G366" s="243">
        <f>G367+G368+G369</f>
        <v>35625.399999999994</v>
      </c>
      <c r="H366" s="243">
        <f>H367+H368+H369</f>
        <v>35495.1</v>
      </c>
      <c r="I366" s="379">
        <f t="shared" si="24"/>
        <v>128.7734000870701</v>
      </c>
      <c r="J366" s="379">
        <f t="shared" si="21"/>
        <v>99.6342497207049</v>
      </c>
    </row>
    <row r="367" spans="1:10" s="130" customFormat="1" ht="72">
      <c r="A367" s="87" t="s">
        <v>811</v>
      </c>
      <c r="B367" s="85" t="s">
        <v>172</v>
      </c>
      <c r="C367" s="85" t="s">
        <v>1598</v>
      </c>
      <c r="D367" s="85" t="s">
        <v>1062</v>
      </c>
      <c r="E367" s="85" t="s">
        <v>88</v>
      </c>
      <c r="F367" s="90"/>
      <c r="G367" s="90">
        <v>19.5</v>
      </c>
      <c r="H367" s="90"/>
      <c r="I367" s="379"/>
      <c r="J367" s="379">
        <f t="shared" si="21"/>
        <v>0</v>
      </c>
    </row>
    <row r="368" spans="1:10" s="130" customFormat="1" ht="15">
      <c r="A368" s="87" t="s">
        <v>1729</v>
      </c>
      <c r="B368" s="85" t="s">
        <v>172</v>
      </c>
      <c r="C368" s="85" t="s">
        <v>1598</v>
      </c>
      <c r="D368" s="85" t="s">
        <v>1062</v>
      </c>
      <c r="E368" s="85" t="s">
        <v>1837</v>
      </c>
      <c r="F368" s="90"/>
      <c r="G368" s="90">
        <v>690.2</v>
      </c>
      <c r="H368" s="90">
        <v>629.3</v>
      </c>
      <c r="I368" s="379"/>
      <c r="J368" s="379">
        <f t="shared" si="21"/>
        <v>91.17647058823528</v>
      </c>
    </row>
    <row r="369" spans="1:10" s="130" customFormat="1" ht="15">
      <c r="A369" s="87" t="s">
        <v>743</v>
      </c>
      <c r="B369" s="85" t="s">
        <v>172</v>
      </c>
      <c r="C369" s="85" t="s">
        <v>1598</v>
      </c>
      <c r="D369" s="85" t="s">
        <v>1062</v>
      </c>
      <c r="E369" s="85" t="s">
        <v>744</v>
      </c>
      <c r="F369" s="243">
        <f>F370+F371</f>
        <v>27564</v>
      </c>
      <c r="G369" s="243">
        <f>G370+G371</f>
        <v>34915.7</v>
      </c>
      <c r="H369" s="243">
        <f>H370+H371</f>
        <v>34865.799999999996</v>
      </c>
      <c r="I369" s="379">
        <f>H369/F369*100</f>
        <v>126.49034973153388</v>
      </c>
      <c r="J369" s="379">
        <f t="shared" si="21"/>
        <v>99.85708434887457</v>
      </c>
    </row>
    <row r="370" spans="1:10" s="130" customFormat="1" ht="24">
      <c r="A370" s="87" t="s">
        <v>745</v>
      </c>
      <c r="B370" s="85" t="s">
        <v>172</v>
      </c>
      <c r="C370" s="85" t="s">
        <v>1598</v>
      </c>
      <c r="D370" s="85" t="s">
        <v>1062</v>
      </c>
      <c r="E370" s="85" t="s">
        <v>746</v>
      </c>
      <c r="F370" s="248">
        <v>27564</v>
      </c>
      <c r="G370" s="248">
        <f>17564+10000+674+799.4+117.6+915.3+158.6+775.1+500+916.6+150-150+88.6</f>
        <v>32509.199999999993</v>
      </c>
      <c r="H370" s="248">
        <v>32508.1</v>
      </c>
      <c r="I370" s="379">
        <f>H370/F370*100</f>
        <v>117.93680162530838</v>
      </c>
      <c r="J370" s="379">
        <f t="shared" si="21"/>
        <v>99.99661634245078</v>
      </c>
    </row>
    <row r="371" spans="1:10" s="130" customFormat="1" ht="15">
      <c r="A371" s="87" t="s">
        <v>1640</v>
      </c>
      <c r="B371" s="85" t="s">
        <v>172</v>
      </c>
      <c r="C371" s="85" t="s">
        <v>1598</v>
      </c>
      <c r="D371" s="85" t="s">
        <v>1062</v>
      </c>
      <c r="E371" s="85" t="s">
        <v>1637</v>
      </c>
      <c r="F371" s="243">
        <f>F372+F373+F374+F375</f>
        <v>0</v>
      </c>
      <c r="G371" s="243">
        <f>G372+G373+G374+G375</f>
        <v>2406.5</v>
      </c>
      <c r="H371" s="243">
        <f>H372+H373+H374+H375</f>
        <v>2357.7</v>
      </c>
      <c r="I371" s="379"/>
      <c r="J371" s="379">
        <f t="shared" si="21"/>
        <v>97.97215873675461</v>
      </c>
    </row>
    <row r="372" spans="1:10" s="130" customFormat="1" ht="24">
      <c r="A372" s="87" t="s">
        <v>812</v>
      </c>
      <c r="B372" s="85" t="s">
        <v>172</v>
      </c>
      <c r="C372" s="85" t="s">
        <v>1598</v>
      </c>
      <c r="D372" s="85" t="s">
        <v>1062</v>
      </c>
      <c r="E372" s="85" t="s">
        <v>1637</v>
      </c>
      <c r="F372" s="90"/>
      <c r="G372" s="90">
        <f>912+723.8</f>
        <v>1635.8</v>
      </c>
      <c r="H372" s="248">
        <v>1587</v>
      </c>
      <c r="I372" s="379"/>
      <c r="J372" s="379">
        <f t="shared" si="21"/>
        <v>97.01675021396258</v>
      </c>
    </row>
    <row r="373" spans="1:10" s="130" customFormat="1" ht="24">
      <c r="A373" s="87" t="s">
        <v>813</v>
      </c>
      <c r="B373" s="85" t="s">
        <v>172</v>
      </c>
      <c r="C373" s="85" t="s">
        <v>1598</v>
      </c>
      <c r="D373" s="85" t="s">
        <v>1062</v>
      </c>
      <c r="E373" s="85" t="s">
        <v>1637</v>
      </c>
      <c r="F373" s="90"/>
      <c r="G373" s="90">
        <v>500</v>
      </c>
      <c r="H373" s="90">
        <v>500</v>
      </c>
      <c r="I373" s="379"/>
      <c r="J373" s="379">
        <f t="shared" si="21"/>
        <v>100</v>
      </c>
    </row>
    <row r="374" spans="1:10" s="130" customFormat="1" ht="15">
      <c r="A374" s="87" t="s">
        <v>814</v>
      </c>
      <c r="B374" s="85" t="s">
        <v>172</v>
      </c>
      <c r="C374" s="85" t="s">
        <v>1598</v>
      </c>
      <c r="D374" s="85" t="s">
        <v>1062</v>
      </c>
      <c r="E374" s="85" t="s">
        <v>1637</v>
      </c>
      <c r="F374" s="90"/>
      <c r="G374" s="90">
        <v>270.7</v>
      </c>
      <c r="H374" s="90">
        <v>270.7</v>
      </c>
      <c r="I374" s="379"/>
      <c r="J374" s="379">
        <f t="shared" si="21"/>
        <v>100</v>
      </c>
    </row>
    <row r="375" spans="1:10" s="130" customFormat="1" ht="60" hidden="1">
      <c r="A375" s="87" t="s">
        <v>815</v>
      </c>
      <c r="B375" s="85" t="s">
        <v>172</v>
      </c>
      <c r="C375" s="85" t="s">
        <v>1598</v>
      </c>
      <c r="D375" s="85" t="s">
        <v>1062</v>
      </c>
      <c r="E375" s="85" t="s">
        <v>1637</v>
      </c>
      <c r="F375" s="90">
        <f>19.5-19.5</f>
        <v>0</v>
      </c>
      <c r="G375" s="90">
        <f>19.5-19.5</f>
        <v>0</v>
      </c>
      <c r="H375" s="90"/>
      <c r="I375" s="379"/>
      <c r="J375" s="379" t="e">
        <f t="shared" si="21"/>
        <v>#DIV/0!</v>
      </c>
    </row>
    <row r="376" spans="1:10" s="130" customFormat="1" ht="15">
      <c r="A376" s="107" t="s">
        <v>909</v>
      </c>
      <c r="B376" s="85" t="s">
        <v>172</v>
      </c>
      <c r="C376" s="85" t="s">
        <v>1598</v>
      </c>
      <c r="D376" s="85" t="s">
        <v>910</v>
      </c>
      <c r="E376" s="85"/>
      <c r="F376" s="243">
        <f>F377</f>
        <v>0</v>
      </c>
      <c r="G376" s="243">
        <f>G377</f>
        <v>34007.2</v>
      </c>
      <c r="H376" s="243">
        <f>H377</f>
        <v>34007.2</v>
      </c>
      <c r="I376" s="379"/>
      <c r="J376" s="379">
        <f t="shared" si="21"/>
        <v>100</v>
      </c>
    </row>
    <row r="377" spans="1:10" s="130" customFormat="1" ht="48">
      <c r="A377" s="95" t="s">
        <v>816</v>
      </c>
      <c r="B377" s="85" t="s">
        <v>172</v>
      </c>
      <c r="C377" s="85" t="s">
        <v>1598</v>
      </c>
      <c r="D377" s="85" t="s">
        <v>575</v>
      </c>
      <c r="E377" s="85" t="s">
        <v>1071</v>
      </c>
      <c r="F377" s="243">
        <f>F379+F378</f>
        <v>0</v>
      </c>
      <c r="G377" s="243">
        <f>G379+G378</f>
        <v>34007.2</v>
      </c>
      <c r="H377" s="243">
        <f>H379+H378</f>
        <v>34007.2</v>
      </c>
      <c r="I377" s="379"/>
      <c r="J377" s="379">
        <f t="shared" si="21"/>
        <v>100</v>
      </c>
    </row>
    <row r="378" spans="1:10" s="130" customFormat="1" ht="15.75" hidden="1">
      <c r="A378" s="92" t="s">
        <v>924</v>
      </c>
      <c r="B378" s="85" t="s">
        <v>172</v>
      </c>
      <c r="C378" s="85" t="s">
        <v>1598</v>
      </c>
      <c r="D378" s="85" t="s">
        <v>1244</v>
      </c>
      <c r="E378" s="85" t="s">
        <v>1881</v>
      </c>
      <c r="F378" s="248"/>
      <c r="G378" s="248"/>
      <c r="H378" s="90"/>
      <c r="I378" s="379"/>
      <c r="J378" s="379" t="e">
        <f t="shared" si="21"/>
        <v>#DIV/0!</v>
      </c>
    </row>
    <row r="379" spans="1:10" s="130" customFormat="1" ht="24">
      <c r="A379" s="95" t="s">
        <v>106</v>
      </c>
      <c r="B379" s="85" t="s">
        <v>172</v>
      </c>
      <c r="C379" s="85" t="s">
        <v>1598</v>
      </c>
      <c r="D379" s="85" t="s">
        <v>575</v>
      </c>
      <c r="E379" s="85" t="s">
        <v>181</v>
      </c>
      <c r="F379" s="90"/>
      <c r="G379" s="90">
        <v>34007.2</v>
      </c>
      <c r="H379" s="90">
        <v>34007.2</v>
      </c>
      <c r="I379" s="379"/>
      <c r="J379" s="379">
        <f t="shared" si="21"/>
        <v>100</v>
      </c>
    </row>
    <row r="380" spans="1:10" s="130" customFormat="1" ht="15.75">
      <c r="A380" s="175" t="s">
        <v>1388</v>
      </c>
      <c r="B380" s="103" t="s">
        <v>583</v>
      </c>
      <c r="C380" s="102"/>
      <c r="D380" s="102"/>
      <c r="E380" s="102"/>
      <c r="F380" s="242">
        <f>F381+F386</f>
        <v>1000</v>
      </c>
      <c r="G380" s="242">
        <f>G381+G386</f>
        <v>1000</v>
      </c>
      <c r="H380" s="242">
        <f>H381+H386</f>
        <v>977.6</v>
      </c>
      <c r="I380" s="420">
        <f>H380/F380*100</f>
        <v>97.76</v>
      </c>
      <c r="J380" s="420">
        <f t="shared" si="21"/>
        <v>97.76</v>
      </c>
    </row>
    <row r="381" spans="1:10" s="130" customFormat="1" ht="24">
      <c r="A381" s="91" t="s">
        <v>817</v>
      </c>
      <c r="B381" s="85" t="s">
        <v>583</v>
      </c>
      <c r="C381" s="85" t="s">
        <v>1598</v>
      </c>
      <c r="D381" s="102"/>
      <c r="E381" s="102"/>
      <c r="F381" s="243">
        <f aca="true" t="shared" si="26" ref="F381:H382">F382</f>
        <v>1000</v>
      </c>
      <c r="G381" s="243">
        <f t="shared" si="26"/>
        <v>1000</v>
      </c>
      <c r="H381" s="243">
        <f t="shared" si="26"/>
        <v>977.6</v>
      </c>
      <c r="I381" s="379">
        <f>H381/F381*100</f>
        <v>97.76</v>
      </c>
      <c r="J381" s="379">
        <f t="shared" si="21"/>
        <v>97.76</v>
      </c>
    </row>
    <row r="382" spans="1:10" s="130" customFormat="1" ht="15">
      <c r="A382" s="93" t="s">
        <v>1389</v>
      </c>
      <c r="B382" s="85" t="s">
        <v>583</v>
      </c>
      <c r="C382" s="85" t="s">
        <v>1598</v>
      </c>
      <c r="D382" s="85" t="s">
        <v>1390</v>
      </c>
      <c r="E382" s="102"/>
      <c r="F382" s="243">
        <f t="shared" si="26"/>
        <v>1000</v>
      </c>
      <c r="G382" s="243">
        <f t="shared" si="26"/>
        <v>1000</v>
      </c>
      <c r="H382" s="243">
        <f t="shared" si="26"/>
        <v>977.6</v>
      </c>
      <c r="I382" s="379">
        <f>H382/F382*100</f>
        <v>97.76</v>
      </c>
      <c r="J382" s="379">
        <f t="shared" si="21"/>
        <v>97.76</v>
      </c>
    </row>
    <row r="383" spans="1:10" s="130" customFormat="1" ht="15">
      <c r="A383" s="87" t="s">
        <v>1391</v>
      </c>
      <c r="B383" s="102" t="s">
        <v>583</v>
      </c>
      <c r="C383" s="102" t="s">
        <v>1598</v>
      </c>
      <c r="D383" s="85" t="s">
        <v>1063</v>
      </c>
      <c r="E383" s="102" t="s">
        <v>1071</v>
      </c>
      <c r="F383" s="243">
        <f>F384+F385+F390</f>
        <v>1000</v>
      </c>
      <c r="G383" s="243">
        <f>G384+G385+G390</f>
        <v>1000</v>
      </c>
      <c r="H383" s="243">
        <f>H384+H385+H390</f>
        <v>977.6</v>
      </c>
      <c r="I383" s="379">
        <f>H383/F383*100</f>
        <v>97.76</v>
      </c>
      <c r="J383" s="379">
        <f t="shared" si="21"/>
        <v>97.76</v>
      </c>
    </row>
    <row r="384" spans="1:10" s="130" customFormat="1" ht="15">
      <c r="A384" s="358" t="s">
        <v>1836</v>
      </c>
      <c r="B384" s="85" t="s">
        <v>583</v>
      </c>
      <c r="C384" s="85" t="s">
        <v>1598</v>
      </c>
      <c r="D384" s="85" t="s">
        <v>1063</v>
      </c>
      <c r="E384" s="85" t="s">
        <v>1837</v>
      </c>
      <c r="F384" s="90"/>
      <c r="G384" s="90">
        <v>898</v>
      </c>
      <c r="H384" s="90">
        <v>877.6</v>
      </c>
      <c r="I384" s="379"/>
      <c r="J384" s="379">
        <f t="shared" si="21"/>
        <v>97.728285077951</v>
      </c>
    </row>
    <row r="385" spans="1:10" s="130" customFormat="1" ht="15">
      <c r="A385" s="376" t="s">
        <v>171</v>
      </c>
      <c r="B385" s="85" t="s">
        <v>583</v>
      </c>
      <c r="C385" s="85" t="s">
        <v>1598</v>
      </c>
      <c r="D385" s="85" t="s">
        <v>1063</v>
      </c>
      <c r="E385" s="85" t="s">
        <v>436</v>
      </c>
      <c r="F385" s="90">
        <v>1000</v>
      </c>
      <c r="G385" s="90"/>
      <c r="H385" s="90"/>
      <c r="I385" s="379"/>
      <c r="J385" s="379"/>
    </row>
    <row r="386" spans="1:10" s="130" customFormat="1" ht="15.75" hidden="1">
      <c r="A386" s="91" t="s">
        <v>1294</v>
      </c>
      <c r="B386" s="85" t="s">
        <v>583</v>
      </c>
      <c r="C386" s="85" t="s">
        <v>172</v>
      </c>
      <c r="D386" s="85"/>
      <c r="E386" s="85"/>
      <c r="F386" s="243">
        <f aca="true" t="shared" si="27" ref="F386:G388">F387</f>
        <v>0</v>
      </c>
      <c r="G386" s="243">
        <f t="shared" si="27"/>
        <v>0</v>
      </c>
      <c r="H386" s="248"/>
      <c r="I386" s="379"/>
      <c r="J386" s="379" t="e">
        <f t="shared" si="21"/>
        <v>#DIV/0!</v>
      </c>
    </row>
    <row r="387" spans="1:10" s="130" customFormat="1" ht="15.75" hidden="1">
      <c r="A387" s="93" t="s">
        <v>1389</v>
      </c>
      <c r="B387" s="85" t="s">
        <v>583</v>
      </c>
      <c r="C387" s="85" t="s">
        <v>172</v>
      </c>
      <c r="D387" s="85" t="s">
        <v>1390</v>
      </c>
      <c r="E387" s="85"/>
      <c r="F387" s="243">
        <f t="shared" si="27"/>
        <v>0</v>
      </c>
      <c r="G387" s="243">
        <f t="shared" si="27"/>
        <v>0</v>
      </c>
      <c r="H387" s="243"/>
      <c r="I387" s="379"/>
      <c r="J387" s="379" t="e">
        <f t="shared" si="21"/>
        <v>#DIV/0!</v>
      </c>
    </row>
    <row r="388" spans="1:10" s="130" customFormat="1" ht="15.75" hidden="1">
      <c r="A388" s="87" t="s">
        <v>1391</v>
      </c>
      <c r="B388" s="85" t="s">
        <v>583</v>
      </c>
      <c r="C388" s="85" t="s">
        <v>172</v>
      </c>
      <c r="D388" s="85" t="s">
        <v>1063</v>
      </c>
      <c r="E388" s="85" t="s">
        <v>1071</v>
      </c>
      <c r="F388" s="243">
        <f t="shared" si="27"/>
        <v>0</v>
      </c>
      <c r="G388" s="243">
        <f t="shared" si="27"/>
        <v>0</v>
      </c>
      <c r="H388" s="248"/>
      <c r="I388" s="379"/>
      <c r="J388" s="379" t="e">
        <f t="shared" si="21"/>
        <v>#DIV/0!</v>
      </c>
    </row>
    <row r="389" spans="1:10" s="130" customFormat="1" ht="15.75" hidden="1">
      <c r="A389" s="87" t="s">
        <v>540</v>
      </c>
      <c r="B389" s="85" t="s">
        <v>583</v>
      </c>
      <c r="C389" s="85" t="s">
        <v>172</v>
      </c>
      <c r="D389" s="85" t="s">
        <v>1063</v>
      </c>
      <c r="E389" s="85" t="s">
        <v>541</v>
      </c>
      <c r="F389" s="90"/>
      <c r="G389" s="90"/>
      <c r="H389" s="243"/>
      <c r="I389" s="379"/>
      <c r="J389" s="379" t="e">
        <f t="shared" si="21"/>
        <v>#DIV/0!</v>
      </c>
    </row>
    <row r="390" spans="1:10" s="130" customFormat="1" ht="15">
      <c r="A390" s="87" t="s">
        <v>187</v>
      </c>
      <c r="B390" s="85" t="s">
        <v>583</v>
      </c>
      <c r="C390" s="85" t="s">
        <v>1598</v>
      </c>
      <c r="D390" s="85" t="s">
        <v>1063</v>
      </c>
      <c r="E390" s="85" t="s">
        <v>188</v>
      </c>
      <c r="F390" s="90"/>
      <c r="G390" s="90">
        <v>102</v>
      </c>
      <c r="H390" s="90">
        <v>100</v>
      </c>
      <c r="I390" s="379"/>
      <c r="J390" s="379">
        <f t="shared" si="21"/>
        <v>98.0392156862745</v>
      </c>
    </row>
    <row r="391" spans="1:10" s="130" customFormat="1" ht="15.75">
      <c r="A391" s="175" t="s">
        <v>1392</v>
      </c>
      <c r="B391" s="103" t="s">
        <v>584</v>
      </c>
      <c r="C391" s="104"/>
      <c r="D391" s="104"/>
      <c r="E391" s="104"/>
      <c r="F391" s="242">
        <f>F392+F464+F593+F604+F654+F590</f>
        <v>1532747.8</v>
      </c>
      <c r="G391" s="242">
        <f>G392+G464+G593+G604+G654+G590</f>
        <v>1715395.2999999998</v>
      </c>
      <c r="H391" s="242">
        <f>H392+H464+H593+H604+H654+H590</f>
        <v>1681997.3</v>
      </c>
      <c r="I391" s="420">
        <f>H391/F391*100</f>
        <v>109.7373814531001</v>
      </c>
      <c r="J391" s="420">
        <f t="shared" si="21"/>
        <v>98.05304351714152</v>
      </c>
    </row>
    <row r="392" spans="1:10" s="130" customFormat="1" ht="15">
      <c r="A392" s="91" t="s">
        <v>1296</v>
      </c>
      <c r="B392" s="85" t="s">
        <v>584</v>
      </c>
      <c r="C392" s="85" t="s">
        <v>141</v>
      </c>
      <c r="D392" s="89"/>
      <c r="E392" s="89"/>
      <c r="F392" s="243">
        <f>F393+F414+F439+F429</f>
        <v>417816</v>
      </c>
      <c r="G392" s="243">
        <f>G393+G414+G439+G429</f>
        <v>521771.69999999995</v>
      </c>
      <c r="H392" s="243">
        <f>H393+H414+H439+H429</f>
        <v>515366.4</v>
      </c>
      <c r="I392" s="379">
        <f>H392/F392*100</f>
        <v>123.34769372163822</v>
      </c>
      <c r="J392" s="379">
        <f t="shared" si="21"/>
        <v>98.77239413329623</v>
      </c>
    </row>
    <row r="393" spans="1:10" s="130" customFormat="1" ht="24">
      <c r="A393" s="94" t="s">
        <v>1393</v>
      </c>
      <c r="B393" s="85" t="s">
        <v>584</v>
      </c>
      <c r="C393" s="85" t="s">
        <v>141</v>
      </c>
      <c r="D393" s="85" t="s">
        <v>936</v>
      </c>
      <c r="E393" s="85"/>
      <c r="F393" s="243">
        <f>F394</f>
        <v>20250</v>
      </c>
      <c r="G393" s="243">
        <f>G394</f>
        <v>3671.1</v>
      </c>
      <c r="H393" s="243">
        <f>H394</f>
        <v>3469.4</v>
      </c>
      <c r="I393" s="379">
        <f>H393/F393*100</f>
        <v>17.13283950617284</v>
      </c>
      <c r="J393" s="379">
        <f t="shared" si="21"/>
        <v>94.50573397619243</v>
      </c>
    </row>
    <row r="394" spans="1:10" s="130" customFormat="1" ht="31.5" customHeight="1">
      <c r="A394" s="95" t="s">
        <v>818</v>
      </c>
      <c r="B394" s="85" t="s">
        <v>584</v>
      </c>
      <c r="C394" s="85" t="s">
        <v>141</v>
      </c>
      <c r="D394" s="85" t="s">
        <v>1049</v>
      </c>
      <c r="E394" s="85" t="s">
        <v>1071</v>
      </c>
      <c r="F394" s="243">
        <f>F395+F398</f>
        <v>20250</v>
      </c>
      <c r="G394" s="243">
        <f>G395+G398</f>
        <v>3671.1</v>
      </c>
      <c r="H394" s="243">
        <f>H395+H398</f>
        <v>3469.4</v>
      </c>
      <c r="I394" s="379">
        <f>H394/F394*100</f>
        <v>17.13283950617284</v>
      </c>
      <c r="J394" s="379">
        <f t="shared" si="21"/>
        <v>94.50573397619243</v>
      </c>
    </row>
    <row r="395" spans="1:10" s="130" customFormat="1" ht="31.5" customHeight="1">
      <c r="A395" s="95" t="s">
        <v>1821</v>
      </c>
      <c r="B395" s="85" t="s">
        <v>584</v>
      </c>
      <c r="C395" s="85" t="s">
        <v>141</v>
      </c>
      <c r="D395" s="85" t="s">
        <v>1049</v>
      </c>
      <c r="E395" s="85" t="s">
        <v>1879</v>
      </c>
      <c r="F395" s="90">
        <v>20250</v>
      </c>
      <c r="G395" s="243"/>
      <c r="H395" s="243"/>
      <c r="I395" s="379"/>
      <c r="J395" s="379"/>
    </row>
    <row r="396" spans="1:10" s="130" customFormat="1" ht="15.75" hidden="1">
      <c r="A396" s="359" t="s">
        <v>819</v>
      </c>
      <c r="B396" s="85" t="s">
        <v>584</v>
      </c>
      <c r="C396" s="85" t="s">
        <v>141</v>
      </c>
      <c r="D396" s="85" t="s">
        <v>1049</v>
      </c>
      <c r="E396" s="85" t="s">
        <v>744</v>
      </c>
      <c r="F396" s="90">
        <f>F397</f>
        <v>0</v>
      </c>
      <c r="G396" s="90">
        <f>G397</f>
        <v>0</v>
      </c>
      <c r="H396" s="90">
        <f>H397</f>
        <v>0</v>
      </c>
      <c r="I396" s="379"/>
      <c r="J396" s="379"/>
    </row>
    <row r="397" spans="1:10" s="130" customFormat="1" ht="36" hidden="1">
      <c r="A397" s="92" t="s">
        <v>820</v>
      </c>
      <c r="B397" s="85" t="s">
        <v>584</v>
      </c>
      <c r="C397" s="85" t="s">
        <v>141</v>
      </c>
      <c r="D397" s="85" t="s">
        <v>1049</v>
      </c>
      <c r="E397" s="85" t="s">
        <v>1637</v>
      </c>
      <c r="F397" s="90">
        <v>0</v>
      </c>
      <c r="G397" s="90">
        <v>0</v>
      </c>
      <c r="H397" s="90"/>
      <c r="I397" s="379"/>
      <c r="J397" s="379"/>
    </row>
    <row r="398" spans="1:10" s="130" customFormat="1" ht="15">
      <c r="A398" s="92" t="s">
        <v>1742</v>
      </c>
      <c r="B398" s="85" t="s">
        <v>584</v>
      </c>
      <c r="C398" s="85" t="s">
        <v>141</v>
      </c>
      <c r="D398" s="85" t="s">
        <v>1049</v>
      </c>
      <c r="E398" s="85" t="s">
        <v>742</v>
      </c>
      <c r="F398" s="243">
        <f>F399+F400+F401+F402+F403+F404+F405+F406+F407+F408+F409</f>
        <v>0</v>
      </c>
      <c r="G398" s="243">
        <f>G399+G400+G401+G402+G403+G404+G405+G406+G407+G408+G409</f>
        <v>3671.1</v>
      </c>
      <c r="H398" s="243">
        <f>H399+H400+H401+H402+H403+H404+H405+H406+H407+H408+H409</f>
        <v>3469.4</v>
      </c>
      <c r="I398" s="379"/>
      <c r="J398" s="379">
        <f aca="true" t="shared" si="28" ref="J398:J461">H398/G398*100</f>
        <v>94.50573397619243</v>
      </c>
    </row>
    <row r="399" spans="1:10" s="130" customFormat="1" ht="24">
      <c r="A399" s="92" t="s">
        <v>821</v>
      </c>
      <c r="B399" s="85" t="s">
        <v>584</v>
      </c>
      <c r="C399" s="85" t="s">
        <v>141</v>
      </c>
      <c r="D399" s="85" t="s">
        <v>1049</v>
      </c>
      <c r="E399" s="85" t="s">
        <v>742</v>
      </c>
      <c r="F399" s="90"/>
      <c r="G399" s="90">
        <v>45.6</v>
      </c>
      <c r="H399" s="90">
        <v>45</v>
      </c>
      <c r="I399" s="379"/>
      <c r="J399" s="379">
        <f t="shared" si="28"/>
        <v>98.68421052631578</v>
      </c>
    </row>
    <row r="400" spans="1:10" s="130" customFormat="1" ht="24">
      <c r="A400" s="92" t="s">
        <v>822</v>
      </c>
      <c r="B400" s="85" t="s">
        <v>584</v>
      </c>
      <c r="C400" s="85" t="s">
        <v>141</v>
      </c>
      <c r="D400" s="85" t="s">
        <v>1049</v>
      </c>
      <c r="E400" s="85" t="s">
        <v>742</v>
      </c>
      <c r="F400" s="90"/>
      <c r="G400" s="90">
        <v>808</v>
      </c>
      <c r="H400" s="90">
        <v>808</v>
      </c>
      <c r="I400" s="379"/>
      <c r="J400" s="379">
        <f t="shared" si="28"/>
        <v>100</v>
      </c>
    </row>
    <row r="401" spans="1:10" s="130" customFormat="1" ht="60">
      <c r="A401" s="278" t="s">
        <v>823</v>
      </c>
      <c r="B401" s="85" t="s">
        <v>584</v>
      </c>
      <c r="C401" s="85" t="s">
        <v>141</v>
      </c>
      <c r="D401" s="85" t="s">
        <v>1049</v>
      </c>
      <c r="E401" s="85" t="s">
        <v>742</v>
      </c>
      <c r="F401" s="90"/>
      <c r="G401" s="90">
        <f>103.5+914-914</f>
        <v>103.5</v>
      </c>
      <c r="H401" s="90">
        <v>103.5</v>
      </c>
      <c r="I401" s="379"/>
      <c r="J401" s="379">
        <f t="shared" si="28"/>
        <v>100</v>
      </c>
    </row>
    <row r="402" spans="1:10" s="130" customFormat="1" ht="36">
      <c r="A402" s="92" t="s">
        <v>824</v>
      </c>
      <c r="B402" s="85" t="s">
        <v>584</v>
      </c>
      <c r="C402" s="85" t="s">
        <v>141</v>
      </c>
      <c r="D402" s="85" t="s">
        <v>1049</v>
      </c>
      <c r="E402" s="85" t="s">
        <v>742</v>
      </c>
      <c r="F402" s="90"/>
      <c r="G402" s="90">
        <v>56.6</v>
      </c>
      <c r="H402" s="90">
        <v>56.5</v>
      </c>
      <c r="I402" s="379"/>
      <c r="J402" s="379">
        <f t="shared" si="28"/>
        <v>99.82332155477032</v>
      </c>
    </row>
    <row r="403" spans="1:10" s="130" customFormat="1" ht="36">
      <c r="A403" s="92" t="s">
        <v>825</v>
      </c>
      <c r="B403" s="85" t="s">
        <v>584</v>
      </c>
      <c r="C403" s="85" t="s">
        <v>141</v>
      </c>
      <c r="D403" s="85" t="s">
        <v>1049</v>
      </c>
      <c r="E403" s="85" t="s">
        <v>742</v>
      </c>
      <c r="F403" s="90"/>
      <c r="G403" s="90">
        <v>137.8</v>
      </c>
      <c r="H403" s="90">
        <v>137.8</v>
      </c>
      <c r="I403" s="379"/>
      <c r="J403" s="379">
        <f t="shared" si="28"/>
        <v>100</v>
      </c>
    </row>
    <row r="404" spans="1:10" s="130" customFormat="1" ht="24">
      <c r="A404" s="92" t="s">
        <v>289</v>
      </c>
      <c r="B404" s="85" t="s">
        <v>584</v>
      </c>
      <c r="C404" s="85" t="s">
        <v>141</v>
      </c>
      <c r="D404" s="85" t="s">
        <v>1049</v>
      </c>
      <c r="E404" s="85" t="s">
        <v>742</v>
      </c>
      <c r="F404" s="90"/>
      <c r="G404" s="90">
        <v>200</v>
      </c>
      <c r="H404" s="243"/>
      <c r="I404" s="379"/>
      <c r="J404" s="379">
        <f t="shared" si="28"/>
        <v>0</v>
      </c>
    </row>
    <row r="405" spans="1:10" s="130" customFormat="1" ht="26.25" customHeight="1">
      <c r="A405" s="92" t="s">
        <v>290</v>
      </c>
      <c r="B405" s="85" t="s">
        <v>584</v>
      </c>
      <c r="C405" s="85" t="s">
        <v>141</v>
      </c>
      <c r="D405" s="85" t="s">
        <v>1049</v>
      </c>
      <c r="E405" s="85" t="s">
        <v>742</v>
      </c>
      <c r="F405" s="90"/>
      <c r="G405" s="90">
        <v>500</v>
      </c>
      <c r="H405" s="90">
        <v>500</v>
      </c>
      <c r="I405" s="379"/>
      <c r="J405" s="379">
        <f t="shared" si="28"/>
        <v>100</v>
      </c>
    </row>
    <row r="406" spans="1:10" s="130" customFormat="1" ht="24">
      <c r="A406" s="92" t="s">
        <v>291</v>
      </c>
      <c r="B406" s="85" t="s">
        <v>584</v>
      </c>
      <c r="C406" s="85" t="s">
        <v>141</v>
      </c>
      <c r="D406" s="85" t="s">
        <v>1049</v>
      </c>
      <c r="E406" s="85" t="s">
        <v>742</v>
      </c>
      <c r="F406" s="90"/>
      <c r="G406" s="90">
        <v>100</v>
      </c>
      <c r="H406" s="90">
        <v>99</v>
      </c>
      <c r="I406" s="379"/>
      <c r="J406" s="379">
        <f t="shared" si="28"/>
        <v>99</v>
      </c>
    </row>
    <row r="407" spans="1:10" s="130" customFormat="1" ht="21" customHeight="1">
      <c r="A407" s="92" t="s">
        <v>292</v>
      </c>
      <c r="B407" s="85" t="s">
        <v>584</v>
      </c>
      <c r="C407" s="85" t="s">
        <v>141</v>
      </c>
      <c r="D407" s="85" t="s">
        <v>1049</v>
      </c>
      <c r="E407" s="85" t="s">
        <v>742</v>
      </c>
      <c r="F407" s="90"/>
      <c r="G407" s="90">
        <v>100</v>
      </c>
      <c r="H407" s="90">
        <v>100</v>
      </c>
      <c r="I407" s="379"/>
      <c r="J407" s="379">
        <f t="shared" si="28"/>
        <v>100</v>
      </c>
    </row>
    <row r="408" spans="1:10" s="130" customFormat="1" ht="22.5" customHeight="1">
      <c r="A408" s="92" t="s">
        <v>293</v>
      </c>
      <c r="B408" s="85" t="s">
        <v>584</v>
      </c>
      <c r="C408" s="85" t="s">
        <v>141</v>
      </c>
      <c r="D408" s="85" t="s">
        <v>1049</v>
      </c>
      <c r="E408" s="85" t="s">
        <v>742</v>
      </c>
      <c r="F408" s="90"/>
      <c r="G408" s="90">
        <v>858.2</v>
      </c>
      <c r="H408" s="90">
        <v>858.2</v>
      </c>
      <c r="I408" s="379"/>
      <c r="J408" s="379">
        <f t="shared" si="28"/>
        <v>100</v>
      </c>
    </row>
    <row r="409" spans="1:10" s="130" customFormat="1" ht="24">
      <c r="A409" s="92" t="s">
        <v>294</v>
      </c>
      <c r="B409" s="85" t="s">
        <v>584</v>
      </c>
      <c r="C409" s="85" t="s">
        <v>141</v>
      </c>
      <c r="D409" s="85" t="s">
        <v>1049</v>
      </c>
      <c r="E409" s="85" t="s">
        <v>742</v>
      </c>
      <c r="F409" s="90"/>
      <c r="G409" s="90">
        <f>475+286.4</f>
        <v>761.4</v>
      </c>
      <c r="H409" s="84">
        <v>761.4</v>
      </c>
      <c r="I409" s="379"/>
      <c r="J409" s="379">
        <f t="shared" si="28"/>
        <v>100</v>
      </c>
    </row>
    <row r="410" spans="1:10" s="130" customFormat="1" ht="15.75" hidden="1">
      <c r="A410" s="87" t="s">
        <v>295</v>
      </c>
      <c r="B410" s="85" t="s">
        <v>584</v>
      </c>
      <c r="C410" s="85" t="s">
        <v>141</v>
      </c>
      <c r="D410" s="85" t="s">
        <v>1049</v>
      </c>
      <c r="E410" s="85" t="s">
        <v>296</v>
      </c>
      <c r="F410" s="243">
        <f>F411+F412+F413</f>
        <v>0</v>
      </c>
      <c r="G410" s="243">
        <f>G411+G412+G413</f>
        <v>0</v>
      </c>
      <c r="H410" s="243"/>
      <c r="I410" s="379" t="e">
        <f aca="true" t="shared" si="29" ref="I410:I415">H410/F410*100</f>
        <v>#DIV/0!</v>
      </c>
      <c r="J410" s="379" t="e">
        <f t="shared" si="28"/>
        <v>#DIV/0!</v>
      </c>
    </row>
    <row r="411" spans="1:10" s="130" customFormat="1" ht="36" hidden="1">
      <c r="A411" s="92" t="s">
        <v>820</v>
      </c>
      <c r="B411" s="85" t="s">
        <v>584</v>
      </c>
      <c r="C411" s="85" t="s">
        <v>141</v>
      </c>
      <c r="D411" s="85" t="s">
        <v>1049</v>
      </c>
      <c r="E411" s="85" t="s">
        <v>801</v>
      </c>
      <c r="F411" s="90">
        <f>858.2-858.2</f>
        <v>0</v>
      </c>
      <c r="G411" s="90">
        <f>858.2-858.2</f>
        <v>0</v>
      </c>
      <c r="H411" s="243"/>
      <c r="I411" s="379" t="e">
        <f t="shared" si="29"/>
        <v>#DIV/0!</v>
      </c>
      <c r="J411" s="379" t="e">
        <f t="shared" si="28"/>
        <v>#DIV/0!</v>
      </c>
    </row>
    <row r="412" spans="1:10" s="130" customFormat="1" ht="36" hidden="1">
      <c r="A412" s="92" t="s">
        <v>1418</v>
      </c>
      <c r="B412" s="85" t="s">
        <v>584</v>
      </c>
      <c r="C412" s="85" t="s">
        <v>141</v>
      </c>
      <c r="D412" s="85" t="s">
        <v>1049</v>
      </c>
      <c r="E412" s="85" t="s">
        <v>801</v>
      </c>
      <c r="F412" s="90"/>
      <c r="G412" s="90"/>
      <c r="H412" s="243"/>
      <c r="I412" s="379" t="e">
        <f t="shared" si="29"/>
        <v>#DIV/0!</v>
      </c>
      <c r="J412" s="379" t="e">
        <f t="shared" si="28"/>
        <v>#DIV/0!</v>
      </c>
    </row>
    <row r="413" spans="1:10" s="130" customFormat="1" ht="24" hidden="1">
      <c r="A413" s="92" t="s">
        <v>297</v>
      </c>
      <c r="B413" s="85" t="s">
        <v>584</v>
      </c>
      <c r="C413" s="85" t="s">
        <v>141</v>
      </c>
      <c r="D413" s="85" t="s">
        <v>1049</v>
      </c>
      <c r="E413" s="85" t="s">
        <v>801</v>
      </c>
      <c r="F413" s="90">
        <f>475+286.4-475-286.4</f>
        <v>0</v>
      </c>
      <c r="G413" s="90">
        <f>475+286.4-475-286.4</f>
        <v>0</v>
      </c>
      <c r="H413" s="248"/>
      <c r="I413" s="379" t="e">
        <f t="shared" si="29"/>
        <v>#DIV/0!</v>
      </c>
      <c r="J413" s="379" t="e">
        <f t="shared" si="28"/>
        <v>#DIV/0!</v>
      </c>
    </row>
    <row r="414" spans="1:10" s="130" customFormat="1" ht="15">
      <c r="A414" s="93" t="s">
        <v>1394</v>
      </c>
      <c r="B414" s="85" t="s">
        <v>584</v>
      </c>
      <c r="C414" s="85" t="s">
        <v>141</v>
      </c>
      <c r="D414" s="85" t="s">
        <v>1395</v>
      </c>
      <c r="E414" s="89"/>
      <c r="F414" s="243">
        <f>F415</f>
        <v>397015</v>
      </c>
      <c r="G414" s="243">
        <f>G415</f>
        <v>346386.1</v>
      </c>
      <c r="H414" s="243">
        <f>H415</f>
        <v>344787.7</v>
      </c>
      <c r="I414" s="379">
        <f t="shared" si="29"/>
        <v>86.84500585620191</v>
      </c>
      <c r="J414" s="379">
        <f t="shared" si="28"/>
        <v>99.53854961270098</v>
      </c>
    </row>
    <row r="415" spans="1:10" s="130" customFormat="1" ht="15">
      <c r="A415" s="87" t="s">
        <v>661</v>
      </c>
      <c r="B415" s="85" t="s">
        <v>584</v>
      </c>
      <c r="C415" s="85" t="s">
        <v>141</v>
      </c>
      <c r="D415" s="85" t="s">
        <v>1050</v>
      </c>
      <c r="E415" s="85" t="s">
        <v>1071</v>
      </c>
      <c r="F415" s="243">
        <f>F416+F417+F418+F423</f>
        <v>397015</v>
      </c>
      <c r="G415" s="243">
        <f>G416+G417+G418+G423</f>
        <v>346386.1</v>
      </c>
      <c r="H415" s="243">
        <f>H416+H417+H418+H423</f>
        <v>344787.7</v>
      </c>
      <c r="I415" s="379">
        <f t="shared" si="29"/>
        <v>86.84500585620191</v>
      </c>
      <c r="J415" s="379">
        <f t="shared" si="28"/>
        <v>99.53854961270098</v>
      </c>
    </row>
    <row r="416" spans="1:10" s="130" customFormat="1" ht="15">
      <c r="A416" s="348" t="s">
        <v>89</v>
      </c>
      <c r="B416" s="85" t="s">
        <v>584</v>
      </c>
      <c r="C416" s="85" t="s">
        <v>141</v>
      </c>
      <c r="D416" s="85" t="s">
        <v>1050</v>
      </c>
      <c r="E416" s="85" t="s">
        <v>90</v>
      </c>
      <c r="F416" s="90"/>
      <c r="G416" s="90">
        <v>20</v>
      </c>
      <c r="H416" s="90"/>
      <c r="I416" s="379"/>
      <c r="J416" s="379">
        <f t="shared" si="28"/>
        <v>0</v>
      </c>
    </row>
    <row r="417" spans="1:10" s="130" customFormat="1" ht="15">
      <c r="A417" s="95" t="s">
        <v>298</v>
      </c>
      <c r="B417" s="85" t="s">
        <v>584</v>
      </c>
      <c r="C417" s="85" t="s">
        <v>141</v>
      </c>
      <c r="D417" s="85" t="s">
        <v>1050</v>
      </c>
      <c r="E417" s="85" t="s">
        <v>742</v>
      </c>
      <c r="F417" s="90"/>
      <c r="G417" s="90">
        <v>265</v>
      </c>
      <c r="H417" s="90">
        <v>265</v>
      </c>
      <c r="I417" s="379"/>
      <c r="J417" s="379">
        <f t="shared" si="28"/>
        <v>100</v>
      </c>
    </row>
    <row r="418" spans="1:10" s="130" customFormat="1" ht="15">
      <c r="A418" s="87" t="s">
        <v>743</v>
      </c>
      <c r="B418" s="85" t="s">
        <v>584</v>
      </c>
      <c r="C418" s="85" t="s">
        <v>141</v>
      </c>
      <c r="D418" s="85" t="s">
        <v>1050</v>
      </c>
      <c r="E418" s="85" t="s">
        <v>744</v>
      </c>
      <c r="F418" s="243">
        <f>F419+F420</f>
        <v>11917</v>
      </c>
      <c r="G418" s="243">
        <f>G419+G420</f>
        <v>22239.3</v>
      </c>
      <c r="H418" s="243">
        <f>H419+H420</f>
        <v>22128.7</v>
      </c>
      <c r="I418" s="379">
        <f>H418/F418*100</f>
        <v>185.69019048418227</v>
      </c>
      <c r="J418" s="379">
        <f t="shared" si="28"/>
        <v>99.50268218873795</v>
      </c>
    </row>
    <row r="419" spans="1:10" s="130" customFormat="1" ht="24">
      <c r="A419" s="87" t="s">
        <v>745</v>
      </c>
      <c r="B419" s="85" t="s">
        <v>584</v>
      </c>
      <c r="C419" s="85" t="s">
        <v>141</v>
      </c>
      <c r="D419" s="85" t="s">
        <v>1050</v>
      </c>
      <c r="E419" s="85" t="s">
        <v>746</v>
      </c>
      <c r="F419" s="90">
        <v>11917</v>
      </c>
      <c r="G419" s="90">
        <f>10573.6+3522+10+2319-2878+28</f>
        <v>13574.599999999999</v>
      </c>
      <c r="H419" s="90">
        <v>13464</v>
      </c>
      <c r="I419" s="379">
        <f>H419/F419*100</f>
        <v>112.98145506419401</v>
      </c>
      <c r="J419" s="379">
        <f t="shared" si="28"/>
        <v>99.18524302741886</v>
      </c>
    </row>
    <row r="420" spans="1:10" s="130" customFormat="1" ht="15">
      <c r="A420" s="87" t="s">
        <v>299</v>
      </c>
      <c r="B420" s="85" t="s">
        <v>584</v>
      </c>
      <c r="C420" s="85" t="s">
        <v>141</v>
      </c>
      <c r="D420" s="85" t="s">
        <v>1050</v>
      </c>
      <c r="E420" s="85" t="s">
        <v>1637</v>
      </c>
      <c r="F420" s="243">
        <f>F421+F422</f>
        <v>0</v>
      </c>
      <c r="G420" s="243">
        <f>G421+G422</f>
        <v>8664.7</v>
      </c>
      <c r="H420" s="243">
        <f>H421+H422</f>
        <v>8664.7</v>
      </c>
      <c r="I420" s="379"/>
      <c r="J420" s="379">
        <f t="shared" si="28"/>
        <v>100</v>
      </c>
    </row>
    <row r="421" spans="1:10" s="130" customFormat="1" ht="32.25" customHeight="1">
      <c r="A421" s="87" t="s">
        <v>300</v>
      </c>
      <c r="B421" s="85" t="s">
        <v>584</v>
      </c>
      <c r="C421" s="85" t="s">
        <v>141</v>
      </c>
      <c r="D421" s="85" t="s">
        <v>1050</v>
      </c>
      <c r="E421" s="85" t="s">
        <v>1637</v>
      </c>
      <c r="F421" s="90"/>
      <c r="G421" s="90">
        <v>99</v>
      </c>
      <c r="H421" s="90">
        <v>99</v>
      </c>
      <c r="I421" s="379"/>
      <c r="J421" s="379">
        <f t="shared" si="28"/>
        <v>100</v>
      </c>
    </row>
    <row r="422" spans="1:10" s="130" customFormat="1" ht="18" customHeight="1">
      <c r="A422" s="87" t="s">
        <v>301</v>
      </c>
      <c r="B422" s="85" t="s">
        <v>584</v>
      </c>
      <c r="C422" s="85" t="s">
        <v>141</v>
      </c>
      <c r="D422" s="85" t="s">
        <v>1050</v>
      </c>
      <c r="E422" s="85" t="s">
        <v>1637</v>
      </c>
      <c r="F422" s="90"/>
      <c r="G422" s="90">
        <v>8565.7</v>
      </c>
      <c r="H422" s="90">
        <v>8565.7</v>
      </c>
      <c r="I422" s="379"/>
      <c r="J422" s="379">
        <f t="shared" si="28"/>
        <v>100</v>
      </c>
    </row>
    <row r="423" spans="1:10" s="130" customFormat="1" ht="29.25" customHeight="1">
      <c r="A423" s="87" t="s">
        <v>302</v>
      </c>
      <c r="B423" s="85" t="s">
        <v>584</v>
      </c>
      <c r="C423" s="85" t="s">
        <v>141</v>
      </c>
      <c r="D423" s="85" t="s">
        <v>1050</v>
      </c>
      <c r="E423" s="85" t="s">
        <v>296</v>
      </c>
      <c r="F423" s="243">
        <f>F424+F425</f>
        <v>385098</v>
      </c>
      <c r="G423" s="243">
        <f>G424+G425</f>
        <v>323861.8</v>
      </c>
      <c r="H423" s="243">
        <f>H424+H425</f>
        <v>322394</v>
      </c>
      <c r="I423" s="379">
        <f>H423/F423*100</f>
        <v>83.71739141724963</v>
      </c>
      <c r="J423" s="379">
        <f t="shared" si="28"/>
        <v>99.54678199157789</v>
      </c>
    </row>
    <row r="424" spans="1:10" s="130" customFormat="1" ht="24">
      <c r="A424" s="87" t="s">
        <v>303</v>
      </c>
      <c r="B424" s="85" t="s">
        <v>584</v>
      </c>
      <c r="C424" s="85" t="s">
        <v>141</v>
      </c>
      <c r="D424" s="85" t="s">
        <v>1050</v>
      </c>
      <c r="E424" s="85" t="s">
        <v>304</v>
      </c>
      <c r="F424" s="90">
        <v>385098</v>
      </c>
      <c r="G424" s="90">
        <f>308060.1+320+720+4378</f>
        <v>313478.1</v>
      </c>
      <c r="H424" s="90">
        <v>312010.5</v>
      </c>
      <c r="I424" s="379">
        <f>H424/F424*100</f>
        <v>81.0210647679292</v>
      </c>
      <c r="J424" s="379">
        <f t="shared" si="28"/>
        <v>99.53183332424179</v>
      </c>
    </row>
    <row r="425" spans="1:10" s="130" customFormat="1" ht="15">
      <c r="A425" s="87" t="s">
        <v>305</v>
      </c>
      <c r="B425" s="85" t="s">
        <v>584</v>
      </c>
      <c r="C425" s="85" t="s">
        <v>141</v>
      </c>
      <c r="D425" s="85" t="s">
        <v>1050</v>
      </c>
      <c r="E425" s="85" t="s">
        <v>801</v>
      </c>
      <c r="F425" s="243">
        <f>F426+F427+F428</f>
        <v>0</v>
      </c>
      <c r="G425" s="243">
        <f>G426+G427+G428</f>
        <v>10383.7</v>
      </c>
      <c r="H425" s="243">
        <f>H426+H427+H428</f>
        <v>10383.5</v>
      </c>
      <c r="I425" s="379"/>
      <c r="J425" s="379">
        <f t="shared" si="28"/>
        <v>99.9980739042923</v>
      </c>
    </row>
    <row r="426" spans="1:10" s="130" customFormat="1" ht="24">
      <c r="A426" s="92" t="s">
        <v>306</v>
      </c>
      <c r="B426" s="85" t="s">
        <v>584</v>
      </c>
      <c r="C426" s="85" t="s">
        <v>141</v>
      </c>
      <c r="D426" s="85" t="s">
        <v>1050</v>
      </c>
      <c r="E426" s="85" t="s">
        <v>801</v>
      </c>
      <c r="F426" s="90"/>
      <c r="G426" s="90">
        <f>3651</f>
        <v>3651</v>
      </c>
      <c r="H426" s="90">
        <v>3651</v>
      </c>
      <c r="I426" s="379"/>
      <c r="J426" s="379">
        <f t="shared" si="28"/>
        <v>100</v>
      </c>
    </row>
    <row r="427" spans="1:10" s="130" customFormat="1" ht="24">
      <c r="A427" s="92" t="s">
        <v>307</v>
      </c>
      <c r="B427" s="85" t="s">
        <v>584</v>
      </c>
      <c r="C427" s="85" t="s">
        <v>141</v>
      </c>
      <c r="D427" s="85" t="s">
        <v>1050</v>
      </c>
      <c r="E427" s="85" t="s">
        <v>801</v>
      </c>
      <c r="F427" s="90"/>
      <c r="G427" s="90">
        <f>6950-3132.7+2867.7</f>
        <v>6685</v>
      </c>
      <c r="H427" s="90">
        <v>6685</v>
      </c>
      <c r="I427" s="379"/>
      <c r="J427" s="379">
        <f t="shared" si="28"/>
        <v>100</v>
      </c>
    </row>
    <row r="428" spans="1:10" s="130" customFormat="1" ht="15">
      <c r="A428" s="92" t="s">
        <v>1344</v>
      </c>
      <c r="B428" s="85" t="s">
        <v>584</v>
      </c>
      <c r="C428" s="85" t="s">
        <v>141</v>
      </c>
      <c r="D428" s="85" t="s">
        <v>1050</v>
      </c>
      <c r="E428" s="85" t="s">
        <v>801</v>
      </c>
      <c r="F428" s="90"/>
      <c r="G428" s="90">
        <v>47.7</v>
      </c>
      <c r="H428" s="90">
        <v>47.5</v>
      </c>
      <c r="I428" s="379"/>
      <c r="J428" s="379">
        <f t="shared" si="28"/>
        <v>99.58071278825994</v>
      </c>
    </row>
    <row r="429" spans="1:10" s="130" customFormat="1" ht="15">
      <c r="A429" s="86" t="s">
        <v>854</v>
      </c>
      <c r="B429" s="85" t="s">
        <v>584</v>
      </c>
      <c r="C429" s="85" t="s">
        <v>141</v>
      </c>
      <c r="D429" s="85" t="s">
        <v>855</v>
      </c>
      <c r="E429" s="85"/>
      <c r="F429" s="243">
        <f>F430+F433+F437</f>
        <v>0</v>
      </c>
      <c r="G429" s="243">
        <f>G430+G433+G437</f>
        <v>55148</v>
      </c>
      <c r="H429" s="243">
        <f>H430+H433+H437</f>
        <v>53826</v>
      </c>
      <c r="I429" s="379"/>
      <c r="J429" s="379">
        <f t="shared" si="28"/>
        <v>97.60281424530355</v>
      </c>
    </row>
    <row r="430" spans="1:10" s="130" customFormat="1" ht="24">
      <c r="A430" s="92" t="s">
        <v>308</v>
      </c>
      <c r="B430" s="85" t="s">
        <v>584</v>
      </c>
      <c r="C430" s="85" t="s">
        <v>141</v>
      </c>
      <c r="D430" s="85" t="s">
        <v>309</v>
      </c>
      <c r="E430" s="85" t="s">
        <v>1071</v>
      </c>
      <c r="F430" s="243">
        <f>F431+F432</f>
        <v>0</v>
      </c>
      <c r="G430" s="243">
        <f>G431+G432</f>
        <v>6576</v>
      </c>
      <c r="H430" s="243">
        <f>H431+H432</f>
        <v>6576</v>
      </c>
      <c r="I430" s="379"/>
      <c r="J430" s="379">
        <f t="shared" si="28"/>
        <v>100</v>
      </c>
    </row>
    <row r="431" spans="1:10" s="130" customFormat="1" ht="15">
      <c r="A431" s="87" t="s">
        <v>743</v>
      </c>
      <c r="B431" s="85" t="s">
        <v>584</v>
      </c>
      <c r="C431" s="85" t="s">
        <v>141</v>
      </c>
      <c r="D431" s="85" t="s">
        <v>309</v>
      </c>
      <c r="E431" s="85" t="s">
        <v>744</v>
      </c>
      <c r="F431" s="90"/>
      <c r="G431" s="90">
        <f>195</f>
        <v>195</v>
      </c>
      <c r="H431" s="90">
        <v>195</v>
      </c>
      <c r="I431" s="379"/>
      <c r="J431" s="379">
        <f t="shared" si="28"/>
        <v>100</v>
      </c>
    </row>
    <row r="432" spans="1:10" s="130" customFormat="1" ht="15">
      <c r="A432" s="87" t="s">
        <v>295</v>
      </c>
      <c r="B432" s="85" t="s">
        <v>584</v>
      </c>
      <c r="C432" s="85" t="s">
        <v>141</v>
      </c>
      <c r="D432" s="85" t="s">
        <v>309</v>
      </c>
      <c r="E432" s="85" t="s">
        <v>296</v>
      </c>
      <c r="F432" s="90"/>
      <c r="G432" s="90">
        <v>6381</v>
      </c>
      <c r="H432" s="90">
        <v>6381</v>
      </c>
      <c r="I432" s="379"/>
      <c r="J432" s="379">
        <f t="shared" si="28"/>
        <v>100</v>
      </c>
    </row>
    <row r="433" spans="1:10" s="130" customFormat="1" ht="24">
      <c r="A433" s="87" t="s">
        <v>310</v>
      </c>
      <c r="B433" s="85" t="s">
        <v>584</v>
      </c>
      <c r="C433" s="85" t="s">
        <v>141</v>
      </c>
      <c r="D433" s="85" t="s">
        <v>844</v>
      </c>
      <c r="E433" s="85" t="s">
        <v>1071</v>
      </c>
      <c r="F433" s="243">
        <f>F434</f>
        <v>0</v>
      </c>
      <c r="G433" s="243">
        <f>G434</f>
        <v>48236</v>
      </c>
      <c r="H433" s="243">
        <f>H434</f>
        <v>47250</v>
      </c>
      <c r="I433" s="379"/>
      <c r="J433" s="379">
        <f t="shared" si="28"/>
        <v>97.95588357243552</v>
      </c>
    </row>
    <row r="434" spans="1:10" s="130" customFormat="1" ht="15">
      <c r="A434" s="87" t="s">
        <v>845</v>
      </c>
      <c r="B434" s="85" t="s">
        <v>584</v>
      </c>
      <c r="C434" s="85" t="s">
        <v>141</v>
      </c>
      <c r="D434" s="85" t="s">
        <v>846</v>
      </c>
      <c r="E434" s="85" t="s">
        <v>1071</v>
      </c>
      <c r="F434" s="243">
        <f>F435+F436</f>
        <v>0</v>
      </c>
      <c r="G434" s="243">
        <f>G435+G436</f>
        <v>48236</v>
      </c>
      <c r="H434" s="243">
        <f>H435+H436</f>
        <v>47250</v>
      </c>
      <c r="I434" s="379"/>
      <c r="J434" s="379">
        <f t="shared" si="28"/>
        <v>97.95588357243552</v>
      </c>
    </row>
    <row r="435" spans="1:10" s="130" customFormat="1" ht="36">
      <c r="A435" s="87" t="s">
        <v>847</v>
      </c>
      <c r="B435" s="85" t="s">
        <v>584</v>
      </c>
      <c r="C435" s="85" t="s">
        <v>141</v>
      </c>
      <c r="D435" s="85" t="s">
        <v>846</v>
      </c>
      <c r="E435" s="85" t="s">
        <v>742</v>
      </c>
      <c r="F435" s="90"/>
      <c r="G435" s="90">
        <v>47250</v>
      </c>
      <c r="H435" s="90">
        <v>47250</v>
      </c>
      <c r="I435" s="379"/>
      <c r="J435" s="379">
        <f t="shared" si="28"/>
        <v>100</v>
      </c>
    </row>
    <row r="436" spans="1:10" s="130" customFormat="1" ht="48">
      <c r="A436" s="278" t="s">
        <v>1694</v>
      </c>
      <c r="B436" s="85" t="s">
        <v>584</v>
      </c>
      <c r="C436" s="85" t="s">
        <v>141</v>
      </c>
      <c r="D436" s="85" t="s">
        <v>846</v>
      </c>
      <c r="E436" s="85" t="s">
        <v>742</v>
      </c>
      <c r="F436" s="90"/>
      <c r="G436" s="90">
        <v>986</v>
      </c>
      <c r="H436" s="243"/>
      <c r="I436" s="379"/>
      <c r="J436" s="379">
        <f t="shared" si="28"/>
        <v>0</v>
      </c>
    </row>
    <row r="437" spans="1:10" s="130" customFormat="1" ht="24">
      <c r="A437" s="87" t="s">
        <v>1695</v>
      </c>
      <c r="B437" s="85" t="s">
        <v>584</v>
      </c>
      <c r="C437" s="85" t="s">
        <v>141</v>
      </c>
      <c r="D437" s="85" t="s">
        <v>1696</v>
      </c>
      <c r="E437" s="85" t="s">
        <v>1071</v>
      </c>
      <c r="F437" s="243">
        <f>F438</f>
        <v>0</v>
      </c>
      <c r="G437" s="243">
        <f>G438</f>
        <v>336</v>
      </c>
      <c r="H437" s="243">
        <f>H438</f>
        <v>0</v>
      </c>
      <c r="I437" s="379"/>
      <c r="J437" s="379">
        <f t="shared" si="28"/>
        <v>0</v>
      </c>
    </row>
    <row r="438" spans="1:10" s="130" customFormat="1" ht="15">
      <c r="A438" s="87" t="s">
        <v>89</v>
      </c>
      <c r="B438" s="85" t="s">
        <v>584</v>
      </c>
      <c r="C438" s="85" t="s">
        <v>141</v>
      </c>
      <c r="D438" s="85" t="s">
        <v>1696</v>
      </c>
      <c r="E438" s="85" t="s">
        <v>90</v>
      </c>
      <c r="F438" s="90"/>
      <c r="G438" s="90">
        <v>336</v>
      </c>
      <c r="H438" s="243"/>
      <c r="I438" s="379"/>
      <c r="J438" s="379">
        <f t="shared" si="28"/>
        <v>0</v>
      </c>
    </row>
    <row r="439" spans="1:10" s="130" customFormat="1" ht="15">
      <c r="A439" s="86" t="s">
        <v>909</v>
      </c>
      <c r="B439" s="85" t="s">
        <v>584</v>
      </c>
      <c r="C439" s="85" t="s">
        <v>141</v>
      </c>
      <c r="D439" s="85" t="s">
        <v>910</v>
      </c>
      <c r="E439" s="85"/>
      <c r="F439" s="243">
        <f>F440+F456+F459</f>
        <v>551</v>
      </c>
      <c r="G439" s="243">
        <f>G440+G456+G459</f>
        <v>116566.49999999999</v>
      </c>
      <c r="H439" s="243">
        <f>H440+H456+H459</f>
        <v>113283.3</v>
      </c>
      <c r="I439" s="421" t="s">
        <v>1212</v>
      </c>
      <c r="J439" s="379">
        <f t="shared" si="28"/>
        <v>97.18341032801021</v>
      </c>
    </row>
    <row r="440" spans="1:10" s="130" customFormat="1" ht="24">
      <c r="A440" s="87" t="s">
        <v>1697</v>
      </c>
      <c r="B440" s="83" t="s">
        <v>584</v>
      </c>
      <c r="C440" s="83" t="s">
        <v>141</v>
      </c>
      <c r="D440" s="83" t="s">
        <v>1698</v>
      </c>
      <c r="E440" s="83" t="s">
        <v>1071</v>
      </c>
      <c r="F440" s="243">
        <f>F441+F445+F450</f>
        <v>0</v>
      </c>
      <c r="G440" s="243">
        <f>G441+G445+G450</f>
        <v>114393.09999999999</v>
      </c>
      <c r="H440" s="243">
        <f>H441+H445+H450</f>
        <v>111324.3</v>
      </c>
      <c r="I440" s="379"/>
      <c r="J440" s="379">
        <f t="shared" si="28"/>
        <v>97.3173207125255</v>
      </c>
    </row>
    <row r="441" spans="1:10" s="130" customFormat="1" ht="24">
      <c r="A441" s="95" t="s">
        <v>1699</v>
      </c>
      <c r="B441" s="83" t="s">
        <v>584</v>
      </c>
      <c r="C441" s="83" t="s">
        <v>141</v>
      </c>
      <c r="D441" s="83" t="s">
        <v>1700</v>
      </c>
      <c r="E441" s="83" t="s">
        <v>742</v>
      </c>
      <c r="F441" s="243">
        <f>F442+F443+F444</f>
        <v>0</v>
      </c>
      <c r="G441" s="243">
        <f>G442+G443+G444</f>
        <v>21341.8</v>
      </c>
      <c r="H441" s="243">
        <f>H442+H443+H444</f>
        <v>21341.8</v>
      </c>
      <c r="I441" s="379"/>
      <c r="J441" s="379">
        <f t="shared" si="28"/>
        <v>100</v>
      </c>
    </row>
    <row r="442" spans="1:10" s="130" customFormat="1" ht="36">
      <c r="A442" s="87" t="s">
        <v>847</v>
      </c>
      <c r="B442" s="83" t="s">
        <v>584</v>
      </c>
      <c r="C442" s="83" t="s">
        <v>141</v>
      </c>
      <c r="D442" s="83" t="s">
        <v>1698</v>
      </c>
      <c r="E442" s="83" t="s">
        <v>742</v>
      </c>
      <c r="F442" s="90"/>
      <c r="G442" s="90">
        <v>20250</v>
      </c>
      <c r="H442" s="90">
        <v>20250</v>
      </c>
      <c r="I442" s="379"/>
      <c r="J442" s="379">
        <f t="shared" si="28"/>
        <v>100</v>
      </c>
    </row>
    <row r="443" spans="1:10" s="130" customFormat="1" ht="41.25" customHeight="1">
      <c r="A443" s="278" t="s">
        <v>823</v>
      </c>
      <c r="B443" s="83" t="s">
        <v>584</v>
      </c>
      <c r="C443" s="83" t="s">
        <v>141</v>
      </c>
      <c r="D443" s="83" t="s">
        <v>1698</v>
      </c>
      <c r="E443" s="83" t="s">
        <v>742</v>
      </c>
      <c r="F443" s="90"/>
      <c r="G443" s="90">
        <v>914</v>
      </c>
      <c r="H443" s="90">
        <v>914</v>
      </c>
      <c r="I443" s="379"/>
      <c r="J443" s="379">
        <f t="shared" si="28"/>
        <v>100</v>
      </c>
    </row>
    <row r="444" spans="1:10" s="130" customFormat="1" ht="22.5" customHeight="1">
      <c r="A444" s="95" t="s">
        <v>298</v>
      </c>
      <c r="B444" s="83" t="s">
        <v>584</v>
      </c>
      <c r="C444" s="83" t="s">
        <v>141</v>
      </c>
      <c r="D444" s="83" t="s">
        <v>1698</v>
      </c>
      <c r="E444" s="83" t="s">
        <v>742</v>
      </c>
      <c r="F444" s="90"/>
      <c r="G444" s="90">
        <f>59.8+118</f>
        <v>177.8</v>
      </c>
      <c r="H444" s="90">
        <v>177.8</v>
      </c>
      <c r="I444" s="379"/>
      <c r="J444" s="379">
        <f t="shared" si="28"/>
        <v>100</v>
      </c>
    </row>
    <row r="445" spans="1:10" s="130" customFormat="1" ht="19.5" customHeight="1">
      <c r="A445" s="87" t="s">
        <v>743</v>
      </c>
      <c r="B445" s="83" t="s">
        <v>584</v>
      </c>
      <c r="C445" s="83" t="s">
        <v>141</v>
      </c>
      <c r="D445" s="83" t="s">
        <v>1698</v>
      </c>
      <c r="E445" s="83" t="s">
        <v>744</v>
      </c>
      <c r="F445" s="243">
        <f>F446+F447+F449</f>
        <v>0</v>
      </c>
      <c r="G445" s="243">
        <f>G446+G447+G449</f>
        <v>6291.9000000000015</v>
      </c>
      <c r="H445" s="243">
        <f>H446+H447+H449</f>
        <v>4573.5</v>
      </c>
      <c r="I445" s="379"/>
      <c r="J445" s="379">
        <f t="shared" si="28"/>
        <v>72.6886949887951</v>
      </c>
    </row>
    <row r="446" spans="1:10" s="130" customFormat="1" ht="41.25" customHeight="1">
      <c r="A446" s="87" t="s">
        <v>745</v>
      </c>
      <c r="B446" s="83" t="s">
        <v>584</v>
      </c>
      <c r="C446" s="83" t="s">
        <v>141</v>
      </c>
      <c r="D446" s="83" t="s">
        <v>1698</v>
      </c>
      <c r="E446" s="83" t="s">
        <v>746</v>
      </c>
      <c r="F446" s="90"/>
      <c r="G446" s="90">
        <f>1632+5799.7+975-452.4-3522+1408.8+10</f>
        <v>5851.100000000001</v>
      </c>
      <c r="H446" s="90">
        <v>4132.7</v>
      </c>
      <c r="I446" s="379"/>
      <c r="J446" s="379">
        <f t="shared" si="28"/>
        <v>70.63116337099005</v>
      </c>
    </row>
    <row r="447" spans="1:10" s="130" customFormat="1" ht="19.5" customHeight="1">
      <c r="A447" s="87" t="s">
        <v>1701</v>
      </c>
      <c r="B447" s="83" t="s">
        <v>584</v>
      </c>
      <c r="C447" s="83" t="s">
        <v>141</v>
      </c>
      <c r="D447" s="83" t="s">
        <v>1698</v>
      </c>
      <c r="E447" s="83" t="s">
        <v>1637</v>
      </c>
      <c r="F447" s="243">
        <f>F448</f>
        <v>0</v>
      </c>
      <c r="G447" s="243">
        <f>G448</f>
        <v>440.8</v>
      </c>
      <c r="H447" s="243">
        <f>H448</f>
        <v>440.8</v>
      </c>
      <c r="I447" s="379"/>
      <c r="J447" s="379">
        <f t="shared" si="28"/>
        <v>100</v>
      </c>
    </row>
    <row r="448" spans="1:10" s="130" customFormat="1" ht="25.5" customHeight="1">
      <c r="A448" s="92" t="s">
        <v>1702</v>
      </c>
      <c r="B448" s="83" t="s">
        <v>584</v>
      </c>
      <c r="C448" s="83" t="s">
        <v>141</v>
      </c>
      <c r="D448" s="83" t="s">
        <v>1698</v>
      </c>
      <c r="E448" s="83" t="s">
        <v>1637</v>
      </c>
      <c r="F448" s="90"/>
      <c r="G448" s="90">
        <v>440.8</v>
      </c>
      <c r="H448" s="90">
        <v>440.8</v>
      </c>
      <c r="I448" s="379"/>
      <c r="J448" s="379">
        <f t="shared" si="28"/>
        <v>100</v>
      </c>
    </row>
    <row r="449" spans="1:10" s="130" customFormat="1" ht="31.5" customHeight="1" hidden="1">
      <c r="A449" s="92" t="s">
        <v>1703</v>
      </c>
      <c r="B449" s="83" t="s">
        <v>584</v>
      </c>
      <c r="C449" s="83" t="s">
        <v>141</v>
      </c>
      <c r="D449" s="83" t="s">
        <v>1698</v>
      </c>
      <c r="E449" s="83" t="s">
        <v>1637</v>
      </c>
      <c r="F449" s="90">
        <v>0</v>
      </c>
      <c r="G449" s="90">
        <v>0</v>
      </c>
      <c r="H449" s="90"/>
      <c r="I449" s="379"/>
      <c r="J449" s="379" t="e">
        <f t="shared" si="28"/>
        <v>#DIV/0!</v>
      </c>
    </row>
    <row r="450" spans="1:10" s="130" customFormat="1" ht="18.75" customHeight="1">
      <c r="A450" s="87" t="s">
        <v>295</v>
      </c>
      <c r="B450" s="83" t="s">
        <v>584</v>
      </c>
      <c r="C450" s="83" t="s">
        <v>141</v>
      </c>
      <c r="D450" s="83" t="s">
        <v>1698</v>
      </c>
      <c r="E450" s="83" t="s">
        <v>296</v>
      </c>
      <c r="F450" s="243">
        <f>F451+F452</f>
        <v>0</v>
      </c>
      <c r="G450" s="243">
        <f>G451+G452</f>
        <v>86759.4</v>
      </c>
      <c r="H450" s="243">
        <f>H451+H452</f>
        <v>85409</v>
      </c>
      <c r="I450" s="379"/>
      <c r="J450" s="379">
        <f t="shared" si="28"/>
        <v>98.44351159643797</v>
      </c>
    </row>
    <row r="451" spans="1:10" s="130" customFormat="1" ht="20.25" customHeight="1">
      <c r="A451" s="87" t="s">
        <v>303</v>
      </c>
      <c r="B451" s="83" t="s">
        <v>584</v>
      </c>
      <c r="C451" s="83" t="s">
        <v>141</v>
      </c>
      <c r="D451" s="83" t="s">
        <v>1698</v>
      </c>
      <c r="E451" s="83" t="s">
        <v>304</v>
      </c>
      <c r="F451" s="90"/>
      <c r="G451" s="90">
        <f>77175-250</f>
        <v>76925</v>
      </c>
      <c r="H451" s="90">
        <v>75580.6</v>
      </c>
      <c r="I451" s="379"/>
      <c r="J451" s="379">
        <f t="shared" si="28"/>
        <v>98.2523236919077</v>
      </c>
    </row>
    <row r="452" spans="1:10" s="130" customFormat="1" ht="27.75" customHeight="1">
      <c r="A452" s="87" t="s">
        <v>1704</v>
      </c>
      <c r="B452" s="83" t="s">
        <v>584</v>
      </c>
      <c r="C452" s="83" t="s">
        <v>141</v>
      </c>
      <c r="D452" s="83" t="s">
        <v>1698</v>
      </c>
      <c r="E452" s="83" t="s">
        <v>801</v>
      </c>
      <c r="F452" s="243">
        <f>F453+F454+F455</f>
        <v>0</v>
      </c>
      <c r="G452" s="243">
        <f>G453+G454+G455</f>
        <v>9834.4</v>
      </c>
      <c r="H452" s="243">
        <f>H453+H454+H455</f>
        <v>9828.4</v>
      </c>
      <c r="I452" s="379"/>
      <c r="J452" s="379">
        <f t="shared" si="28"/>
        <v>99.93898966891727</v>
      </c>
    </row>
    <row r="453" spans="1:10" s="130" customFormat="1" ht="24" customHeight="1">
      <c r="A453" s="92" t="s">
        <v>1705</v>
      </c>
      <c r="B453" s="83" t="s">
        <v>584</v>
      </c>
      <c r="C453" s="83" t="s">
        <v>141</v>
      </c>
      <c r="D453" s="83" t="s">
        <v>1698</v>
      </c>
      <c r="E453" s="83" t="s">
        <v>801</v>
      </c>
      <c r="F453" s="90"/>
      <c r="G453" s="90">
        <f>3174+100</f>
        <v>3274</v>
      </c>
      <c r="H453" s="90">
        <v>3268</v>
      </c>
      <c r="I453" s="379"/>
      <c r="J453" s="379">
        <f t="shared" si="28"/>
        <v>99.8167379352474</v>
      </c>
    </row>
    <row r="454" spans="1:10" s="130" customFormat="1" ht="22.5" customHeight="1">
      <c r="A454" s="92" t="s">
        <v>1706</v>
      </c>
      <c r="B454" s="83" t="s">
        <v>584</v>
      </c>
      <c r="C454" s="83" t="s">
        <v>141</v>
      </c>
      <c r="D454" s="83" t="s">
        <v>1698</v>
      </c>
      <c r="E454" s="83" t="s">
        <v>801</v>
      </c>
      <c r="F454" s="90"/>
      <c r="G454" s="90">
        <f>648.2+1022+45+145.5</f>
        <v>1860.7</v>
      </c>
      <c r="H454" s="90">
        <v>1860.7</v>
      </c>
      <c r="I454" s="379"/>
      <c r="J454" s="379">
        <f t="shared" si="28"/>
        <v>100</v>
      </c>
    </row>
    <row r="455" spans="1:10" s="130" customFormat="1" ht="21.75" customHeight="1">
      <c r="A455" s="92" t="s">
        <v>1702</v>
      </c>
      <c r="B455" s="83" t="s">
        <v>584</v>
      </c>
      <c r="C455" s="83" t="s">
        <v>141</v>
      </c>
      <c r="D455" s="83" t="s">
        <v>1698</v>
      </c>
      <c r="E455" s="83" t="s">
        <v>801</v>
      </c>
      <c r="F455" s="90"/>
      <c r="G455" s="90">
        <v>4699.7</v>
      </c>
      <c r="H455" s="90">
        <v>4699.7</v>
      </c>
      <c r="I455" s="379"/>
      <c r="J455" s="379">
        <f t="shared" si="28"/>
        <v>100</v>
      </c>
    </row>
    <row r="456" spans="1:10" s="130" customFormat="1" ht="31.5" customHeight="1">
      <c r="A456" s="87" t="s">
        <v>1707</v>
      </c>
      <c r="B456" s="83" t="s">
        <v>584</v>
      </c>
      <c r="C456" s="83" t="s">
        <v>141</v>
      </c>
      <c r="D456" s="83" t="s">
        <v>741</v>
      </c>
      <c r="E456" s="83" t="s">
        <v>1071</v>
      </c>
      <c r="F456" s="243">
        <f aca="true" t="shared" si="30" ref="F456:H457">F457</f>
        <v>551</v>
      </c>
      <c r="G456" s="243">
        <f t="shared" si="30"/>
        <v>551</v>
      </c>
      <c r="H456" s="243">
        <f t="shared" si="30"/>
        <v>336.6</v>
      </c>
      <c r="I456" s="379">
        <f>H456/F456*100</f>
        <v>61.08892921960073</v>
      </c>
      <c r="J456" s="379">
        <f t="shared" si="28"/>
        <v>61.08892921960073</v>
      </c>
    </row>
    <row r="457" spans="1:10" s="130" customFormat="1" ht="20.25" customHeight="1">
      <c r="A457" s="87" t="s">
        <v>295</v>
      </c>
      <c r="B457" s="83" t="s">
        <v>584</v>
      </c>
      <c r="C457" s="83" t="s">
        <v>141</v>
      </c>
      <c r="D457" s="83" t="s">
        <v>741</v>
      </c>
      <c r="E457" s="83" t="s">
        <v>296</v>
      </c>
      <c r="F457" s="243">
        <f t="shared" si="30"/>
        <v>551</v>
      </c>
      <c r="G457" s="243">
        <f t="shared" si="30"/>
        <v>551</v>
      </c>
      <c r="H457" s="243">
        <f t="shared" si="30"/>
        <v>336.6</v>
      </c>
      <c r="I457" s="379">
        <f>H457/F457*100</f>
        <v>61.08892921960073</v>
      </c>
      <c r="J457" s="379">
        <f t="shared" si="28"/>
        <v>61.08892921960073</v>
      </c>
    </row>
    <row r="458" spans="1:10" s="130" customFormat="1" ht="19.5" customHeight="1">
      <c r="A458" s="87" t="s">
        <v>303</v>
      </c>
      <c r="B458" s="83" t="s">
        <v>584</v>
      </c>
      <c r="C458" s="83" t="s">
        <v>141</v>
      </c>
      <c r="D458" s="83" t="s">
        <v>741</v>
      </c>
      <c r="E458" s="83" t="s">
        <v>304</v>
      </c>
      <c r="F458" s="90">
        <v>551</v>
      </c>
      <c r="G458" s="90">
        <v>551</v>
      </c>
      <c r="H458" s="90">
        <v>336.6</v>
      </c>
      <c r="I458" s="379">
        <f>H458/F458*100</f>
        <v>61.08892921960073</v>
      </c>
      <c r="J458" s="379">
        <f t="shared" si="28"/>
        <v>61.08892921960073</v>
      </c>
    </row>
    <row r="459" spans="1:10" s="130" customFormat="1" ht="33" customHeight="1">
      <c r="A459" s="87" t="s">
        <v>1708</v>
      </c>
      <c r="B459" s="83" t="s">
        <v>584</v>
      </c>
      <c r="C459" s="83" t="s">
        <v>141</v>
      </c>
      <c r="D459" s="83" t="s">
        <v>1709</v>
      </c>
      <c r="E459" s="83" t="s">
        <v>1071</v>
      </c>
      <c r="F459" s="243">
        <f>F460+F462</f>
        <v>0</v>
      </c>
      <c r="G459" s="243">
        <f>G460+G462</f>
        <v>1622.4</v>
      </c>
      <c r="H459" s="243">
        <f>H460+H462</f>
        <v>1622.4</v>
      </c>
      <c r="I459" s="379"/>
      <c r="J459" s="379">
        <f t="shared" si="28"/>
        <v>100</v>
      </c>
    </row>
    <row r="460" spans="1:10" s="130" customFormat="1" ht="28.5" customHeight="1">
      <c r="A460" s="87" t="s">
        <v>743</v>
      </c>
      <c r="B460" s="83" t="s">
        <v>584</v>
      </c>
      <c r="C460" s="83" t="s">
        <v>141</v>
      </c>
      <c r="D460" s="83" t="s">
        <v>1709</v>
      </c>
      <c r="E460" s="83" t="s">
        <v>744</v>
      </c>
      <c r="F460" s="90"/>
      <c r="G460" s="243">
        <f>G461</f>
        <v>692.4</v>
      </c>
      <c r="H460" s="243">
        <f>H461</f>
        <v>692.4</v>
      </c>
      <c r="I460" s="379"/>
      <c r="J460" s="379">
        <f t="shared" si="28"/>
        <v>100</v>
      </c>
    </row>
    <row r="461" spans="1:10" s="130" customFormat="1" ht="15.75" customHeight="1">
      <c r="A461" s="87" t="s">
        <v>745</v>
      </c>
      <c r="B461" s="83" t="s">
        <v>584</v>
      </c>
      <c r="C461" s="83" t="s">
        <v>141</v>
      </c>
      <c r="D461" s="83" t="s">
        <v>1709</v>
      </c>
      <c r="E461" s="83" t="s">
        <v>746</v>
      </c>
      <c r="F461" s="90"/>
      <c r="G461" s="90">
        <f>140+452.4+100</f>
        <v>692.4</v>
      </c>
      <c r="H461" s="90">
        <v>692.4</v>
      </c>
      <c r="I461" s="379"/>
      <c r="J461" s="379">
        <f t="shared" si="28"/>
        <v>100</v>
      </c>
    </row>
    <row r="462" spans="1:10" s="130" customFormat="1" ht="31.5" customHeight="1">
      <c r="A462" s="87" t="s">
        <v>295</v>
      </c>
      <c r="B462" s="83" t="s">
        <v>584</v>
      </c>
      <c r="C462" s="83" t="s">
        <v>141</v>
      </c>
      <c r="D462" s="83" t="s">
        <v>1709</v>
      </c>
      <c r="E462" s="83" t="s">
        <v>296</v>
      </c>
      <c r="F462" s="243">
        <f>F463</f>
        <v>0</v>
      </c>
      <c r="G462" s="243">
        <f>G463</f>
        <v>930</v>
      </c>
      <c r="H462" s="243">
        <f>H463</f>
        <v>930</v>
      </c>
      <c r="I462" s="379"/>
      <c r="J462" s="379">
        <f aca="true" t="shared" si="31" ref="J462:J525">H462/G462*100</f>
        <v>100</v>
      </c>
    </row>
    <row r="463" spans="1:10" s="130" customFormat="1" ht="38.25" customHeight="1">
      <c r="A463" s="87" t="s">
        <v>303</v>
      </c>
      <c r="B463" s="83" t="s">
        <v>584</v>
      </c>
      <c r="C463" s="83" t="s">
        <v>141</v>
      </c>
      <c r="D463" s="83" t="s">
        <v>1709</v>
      </c>
      <c r="E463" s="83" t="s">
        <v>304</v>
      </c>
      <c r="F463" s="90"/>
      <c r="G463" s="90">
        <v>930</v>
      </c>
      <c r="H463" s="249">
        <v>930</v>
      </c>
      <c r="I463" s="379"/>
      <c r="J463" s="379">
        <f t="shared" si="31"/>
        <v>100</v>
      </c>
    </row>
    <row r="464" spans="1:10" s="130" customFormat="1" ht="19.5" customHeight="1">
      <c r="A464" s="91" t="s">
        <v>1297</v>
      </c>
      <c r="B464" s="85" t="s">
        <v>584</v>
      </c>
      <c r="C464" s="85" t="s">
        <v>142</v>
      </c>
      <c r="D464" s="85"/>
      <c r="E464" s="85"/>
      <c r="F464" s="243">
        <f>F465+F470+F497+F510+F514+F489+F504+F544+F528</f>
        <v>962913</v>
      </c>
      <c r="G464" s="243">
        <f>G465+G470+G497+G510+G514+G489+G504+G544+G528</f>
        <v>1032728.8999999999</v>
      </c>
      <c r="H464" s="243">
        <f>H465+H470+H497+H510+H514+H489+H504+H544+H528</f>
        <v>1011368.2999999999</v>
      </c>
      <c r="I464" s="379">
        <f>H464/F464*100</f>
        <v>105.03215763002471</v>
      </c>
      <c r="J464" s="379">
        <f t="shared" si="31"/>
        <v>97.93163530138452</v>
      </c>
    </row>
    <row r="465" spans="1:10" s="130" customFormat="1" ht="28.5" customHeight="1">
      <c r="A465" s="94" t="s">
        <v>1393</v>
      </c>
      <c r="B465" s="85" t="s">
        <v>584</v>
      </c>
      <c r="C465" s="85" t="s">
        <v>142</v>
      </c>
      <c r="D465" s="85" t="s">
        <v>1049</v>
      </c>
      <c r="E465" s="85"/>
      <c r="F465" s="243">
        <f>F466</f>
        <v>0</v>
      </c>
      <c r="G465" s="243">
        <f>G466</f>
        <v>300</v>
      </c>
      <c r="H465" s="243">
        <f>H466</f>
        <v>300</v>
      </c>
      <c r="I465" s="379"/>
      <c r="J465" s="379">
        <f t="shared" si="31"/>
        <v>100</v>
      </c>
    </row>
    <row r="466" spans="1:10" s="130" customFormat="1" ht="33.75" customHeight="1">
      <c r="A466" s="95" t="s">
        <v>1710</v>
      </c>
      <c r="B466" s="85" t="s">
        <v>584</v>
      </c>
      <c r="C466" s="85" t="s">
        <v>142</v>
      </c>
      <c r="D466" s="85" t="s">
        <v>1049</v>
      </c>
      <c r="E466" s="85" t="s">
        <v>1071</v>
      </c>
      <c r="F466" s="243">
        <f>F467+F468+F469</f>
        <v>0</v>
      </c>
      <c r="G466" s="243">
        <f>G467+G468+G469</f>
        <v>300</v>
      </c>
      <c r="H466" s="243">
        <f>H467+H468+H469</f>
        <v>300</v>
      </c>
      <c r="I466" s="379"/>
      <c r="J466" s="379">
        <f t="shared" si="31"/>
        <v>100</v>
      </c>
    </row>
    <row r="467" spans="1:10" s="130" customFormat="1" ht="11.25" customHeight="1" hidden="1">
      <c r="A467" s="95" t="s">
        <v>1850</v>
      </c>
      <c r="B467" s="85" t="s">
        <v>584</v>
      </c>
      <c r="C467" s="85" t="s">
        <v>142</v>
      </c>
      <c r="D467" s="85" t="s">
        <v>1049</v>
      </c>
      <c r="E467" s="85" t="s">
        <v>1879</v>
      </c>
      <c r="F467" s="90"/>
      <c r="G467" s="90"/>
      <c r="H467" s="243"/>
      <c r="I467" s="379"/>
      <c r="J467" s="379" t="e">
        <f t="shared" si="31"/>
        <v>#DIV/0!</v>
      </c>
    </row>
    <row r="468" spans="1:10" s="130" customFormat="1" ht="11.25" customHeight="1" hidden="1">
      <c r="A468" s="92" t="s">
        <v>1851</v>
      </c>
      <c r="B468" s="85" t="s">
        <v>584</v>
      </c>
      <c r="C468" s="85" t="s">
        <v>142</v>
      </c>
      <c r="D468" s="85" t="s">
        <v>1049</v>
      </c>
      <c r="E468" s="85" t="s">
        <v>926</v>
      </c>
      <c r="F468" s="90"/>
      <c r="G468" s="90"/>
      <c r="H468" s="90"/>
      <c r="I468" s="379"/>
      <c r="J468" s="379" t="e">
        <f t="shared" si="31"/>
        <v>#DIV/0!</v>
      </c>
    </row>
    <row r="469" spans="1:10" s="130" customFormat="1" ht="25.5" customHeight="1">
      <c r="A469" s="95" t="s">
        <v>1711</v>
      </c>
      <c r="B469" s="85" t="s">
        <v>584</v>
      </c>
      <c r="C469" s="85" t="s">
        <v>142</v>
      </c>
      <c r="D469" s="85" t="s">
        <v>1049</v>
      </c>
      <c r="E469" s="85" t="s">
        <v>742</v>
      </c>
      <c r="F469" s="90"/>
      <c r="G469" s="90">
        <v>300</v>
      </c>
      <c r="H469" s="90">
        <v>300</v>
      </c>
      <c r="I469" s="379"/>
      <c r="J469" s="379">
        <f t="shared" si="31"/>
        <v>100</v>
      </c>
    </row>
    <row r="470" spans="1:10" s="130" customFormat="1" ht="31.5" customHeight="1">
      <c r="A470" s="93" t="s">
        <v>1396</v>
      </c>
      <c r="B470" s="85" t="s">
        <v>584</v>
      </c>
      <c r="C470" s="85" t="s">
        <v>142</v>
      </c>
      <c r="D470" s="85" t="s">
        <v>1397</v>
      </c>
      <c r="E470" s="85"/>
      <c r="F470" s="243">
        <f>F471+F474+F479+F476</f>
        <v>739434</v>
      </c>
      <c r="G470" s="243">
        <f>G471+G474+G479+G476</f>
        <v>639171.3999999999</v>
      </c>
      <c r="H470" s="243">
        <f>H471+H474+H479+H476</f>
        <v>632320.4</v>
      </c>
      <c r="I470" s="379">
        <f>H470/F470*100</f>
        <v>85.51410944046393</v>
      </c>
      <c r="J470" s="379">
        <f t="shared" si="31"/>
        <v>98.92814353082758</v>
      </c>
    </row>
    <row r="471" spans="1:10" s="130" customFormat="1" ht="31.5" customHeight="1">
      <c r="A471" s="92" t="s">
        <v>864</v>
      </c>
      <c r="B471" s="85" t="s">
        <v>584</v>
      </c>
      <c r="C471" s="85" t="s">
        <v>142</v>
      </c>
      <c r="D471" s="85" t="s">
        <v>865</v>
      </c>
      <c r="E471" s="85" t="s">
        <v>1071</v>
      </c>
      <c r="F471" s="243">
        <f>F472+F473</f>
        <v>0</v>
      </c>
      <c r="G471" s="243">
        <f>G472+G473</f>
        <v>608640.7</v>
      </c>
      <c r="H471" s="243">
        <f>H472+H473</f>
        <v>602469.1</v>
      </c>
      <c r="I471" s="379"/>
      <c r="J471" s="379">
        <f t="shared" si="31"/>
        <v>98.98600274349054</v>
      </c>
    </row>
    <row r="472" spans="1:10" s="130" customFormat="1" ht="24" customHeight="1">
      <c r="A472" s="87" t="s">
        <v>743</v>
      </c>
      <c r="B472" s="85" t="s">
        <v>584</v>
      </c>
      <c r="C472" s="85" t="s">
        <v>142</v>
      </c>
      <c r="D472" s="85" t="s">
        <v>865</v>
      </c>
      <c r="E472" s="85" t="s">
        <v>744</v>
      </c>
      <c r="F472" s="90"/>
      <c r="G472" s="90">
        <v>21339.6</v>
      </c>
      <c r="H472" s="90">
        <v>20516.4</v>
      </c>
      <c r="I472" s="379"/>
      <c r="J472" s="379">
        <f t="shared" si="31"/>
        <v>96.14238317494237</v>
      </c>
    </row>
    <row r="473" spans="1:10" s="130" customFormat="1" ht="33.75" customHeight="1">
      <c r="A473" s="87" t="s">
        <v>295</v>
      </c>
      <c r="B473" s="85" t="s">
        <v>584</v>
      </c>
      <c r="C473" s="85" t="s">
        <v>142</v>
      </c>
      <c r="D473" s="85" t="s">
        <v>865</v>
      </c>
      <c r="E473" s="85" t="s">
        <v>296</v>
      </c>
      <c r="F473" s="90"/>
      <c r="G473" s="90">
        <f>581999.4+38-22.5+1286.2+4000</f>
        <v>587301.1</v>
      </c>
      <c r="H473" s="90">
        <v>581952.7</v>
      </c>
      <c r="I473" s="379"/>
      <c r="J473" s="379">
        <f t="shared" si="31"/>
        <v>99.08932573087297</v>
      </c>
    </row>
    <row r="474" spans="1:10" s="130" customFormat="1" ht="18.75" customHeight="1">
      <c r="A474" s="92" t="s">
        <v>866</v>
      </c>
      <c r="B474" s="85" t="s">
        <v>584</v>
      </c>
      <c r="C474" s="85" t="s">
        <v>142</v>
      </c>
      <c r="D474" s="85" t="s">
        <v>867</v>
      </c>
      <c r="E474" s="85"/>
      <c r="F474" s="243">
        <f>F475</f>
        <v>0</v>
      </c>
      <c r="G474" s="243">
        <f>G475</f>
        <v>1235</v>
      </c>
      <c r="H474" s="243">
        <f>H475</f>
        <v>603.4</v>
      </c>
      <c r="I474" s="379"/>
      <c r="J474" s="379">
        <f t="shared" si="31"/>
        <v>48.858299595141695</v>
      </c>
    </row>
    <row r="475" spans="1:10" s="130" customFormat="1" ht="41.25" customHeight="1">
      <c r="A475" s="87" t="s">
        <v>868</v>
      </c>
      <c r="B475" s="85" t="s">
        <v>584</v>
      </c>
      <c r="C475" s="85" t="s">
        <v>142</v>
      </c>
      <c r="D475" s="85" t="s">
        <v>867</v>
      </c>
      <c r="E475" s="85" t="s">
        <v>869</v>
      </c>
      <c r="F475" s="90"/>
      <c r="G475" s="90">
        <v>1235</v>
      </c>
      <c r="H475" s="90">
        <v>603.4</v>
      </c>
      <c r="I475" s="379"/>
      <c r="J475" s="379">
        <f t="shared" si="31"/>
        <v>48.858299595141695</v>
      </c>
    </row>
    <row r="476" spans="1:10" s="130" customFormat="1" ht="18.75" customHeight="1">
      <c r="A476" s="92" t="s">
        <v>870</v>
      </c>
      <c r="B476" s="85" t="s">
        <v>584</v>
      </c>
      <c r="C476" s="85" t="s">
        <v>142</v>
      </c>
      <c r="D476" s="85" t="s">
        <v>871</v>
      </c>
      <c r="E476" s="85" t="s">
        <v>1071</v>
      </c>
      <c r="F476" s="243">
        <f>F477+F478</f>
        <v>0</v>
      </c>
      <c r="G476" s="243">
        <f>G477+G478</f>
        <v>27940</v>
      </c>
      <c r="H476" s="243">
        <f>H477+H478</f>
        <v>27940</v>
      </c>
      <c r="I476" s="379"/>
      <c r="J476" s="379">
        <f t="shared" si="31"/>
        <v>100</v>
      </c>
    </row>
    <row r="477" spans="1:10" s="130" customFormat="1" ht="18" customHeight="1">
      <c r="A477" s="87" t="s">
        <v>743</v>
      </c>
      <c r="B477" s="85" t="s">
        <v>584</v>
      </c>
      <c r="C477" s="85" t="s">
        <v>142</v>
      </c>
      <c r="D477" s="85" t="s">
        <v>871</v>
      </c>
      <c r="E477" s="85" t="s">
        <v>744</v>
      </c>
      <c r="F477" s="90"/>
      <c r="G477" s="90">
        <f>243+20</f>
        <v>263</v>
      </c>
      <c r="H477" s="90">
        <v>263</v>
      </c>
      <c r="I477" s="379"/>
      <c r="J477" s="379">
        <f t="shared" si="31"/>
        <v>100</v>
      </c>
    </row>
    <row r="478" spans="1:10" s="130" customFormat="1" ht="18.75" customHeight="1">
      <c r="A478" s="87" t="s">
        <v>295</v>
      </c>
      <c r="B478" s="85" t="s">
        <v>584</v>
      </c>
      <c r="C478" s="85" t="s">
        <v>142</v>
      </c>
      <c r="D478" s="85" t="s">
        <v>871</v>
      </c>
      <c r="E478" s="85" t="s">
        <v>296</v>
      </c>
      <c r="F478" s="90"/>
      <c r="G478" s="90">
        <f>27697-20</f>
        <v>27677</v>
      </c>
      <c r="H478" s="90">
        <v>27677</v>
      </c>
      <c r="I478" s="379"/>
      <c r="J478" s="379">
        <f t="shared" si="31"/>
        <v>100</v>
      </c>
    </row>
    <row r="479" spans="1:10" s="130" customFormat="1" ht="41.25" customHeight="1">
      <c r="A479" s="87" t="s">
        <v>661</v>
      </c>
      <c r="B479" s="85" t="s">
        <v>584</v>
      </c>
      <c r="C479" s="85" t="s">
        <v>142</v>
      </c>
      <c r="D479" s="85" t="s">
        <v>1051</v>
      </c>
      <c r="E479" s="85" t="s">
        <v>1071</v>
      </c>
      <c r="F479" s="243">
        <f>F480+F481+F483</f>
        <v>739434</v>
      </c>
      <c r="G479" s="243">
        <f>G480+G481+G483</f>
        <v>1355.7</v>
      </c>
      <c r="H479" s="243">
        <f>H480+H481+H483</f>
        <v>1307.9</v>
      </c>
      <c r="I479" s="379">
        <f>H479/F479*100</f>
        <v>0.17687853141727322</v>
      </c>
      <c r="J479" s="379">
        <f t="shared" si="31"/>
        <v>96.47414619753634</v>
      </c>
    </row>
    <row r="480" spans="1:10" s="130" customFormat="1" ht="41.25" customHeight="1" hidden="1">
      <c r="A480" s="87" t="s">
        <v>925</v>
      </c>
      <c r="B480" s="85" t="s">
        <v>584</v>
      </c>
      <c r="C480" s="85" t="s">
        <v>142</v>
      </c>
      <c r="D480" s="85" t="s">
        <v>1051</v>
      </c>
      <c r="E480" s="85" t="s">
        <v>926</v>
      </c>
      <c r="F480" s="90"/>
      <c r="G480" s="90"/>
      <c r="H480" s="243"/>
      <c r="I480" s="379"/>
      <c r="J480" s="379"/>
    </row>
    <row r="481" spans="1:10" s="130" customFormat="1" ht="23.25" customHeight="1">
      <c r="A481" s="87" t="s">
        <v>743</v>
      </c>
      <c r="B481" s="85" t="s">
        <v>584</v>
      </c>
      <c r="C481" s="85" t="s">
        <v>142</v>
      </c>
      <c r="D481" s="85" t="s">
        <v>1051</v>
      </c>
      <c r="E481" s="85" t="s">
        <v>744</v>
      </c>
      <c r="F481" s="243">
        <f>F482</f>
        <v>28183</v>
      </c>
      <c r="G481" s="243">
        <f>G482</f>
        <v>0</v>
      </c>
      <c r="H481" s="90"/>
      <c r="I481" s="379"/>
      <c r="J481" s="379"/>
    </row>
    <row r="482" spans="1:10" s="130" customFormat="1" ht="15" customHeight="1">
      <c r="A482" s="87" t="s">
        <v>745</v>
      </c>
      <c r="B482" s="85" t="s">
        <v>584</v>
      </c>
      <c r="C482" s="85" t="s">
        <v>142</v>
      </c>
      <c r="D482" s="85" t="s">
        <v>1051</v>
      </c>
      <c r="E482" s="85" t="s">
        <v>746</v>
      </c>
      <c r="F482" s="90">
        <v>28183</v>
      </c>
      <c r="G482" s="90">
        <v>0</v>
      </c>
      <c r="H482" s="243"/>
      <c r="I482" s="379"/>
      <c r="J482" s="379"/>
    </row>
    <row r="483" spans="1:10" s="130" customFormat="1" ht="44.25" customHeight="1">
      <c r="A483" s="87" t="s">
        <v>295</v>
      </c>
      <c r="B483" s="85" t="s">
        <v>584</v>
      </c>
      <c r="C483" s="85" t="s">
        <v>142</v>
      </c>
      <c r="D483" s="85" t="s">
        <v>1051</v>
      </c>
      <c r="E483" s="85" t="s">
        <v>296</v>
      </c>
      <c r="F483" s="243">
        <f>F484+F485</f>
        <v>711251</v>
      </c>
      <c r="G483" s="243">
        <f>G484+G485</f>
        <v>1355.7</v>
      </c>
      <c r="H483" s="243">
        <f>H484+H485</f>
        <v>1307.9</v>
      </c>
      <c r="I483" s="379">
        <f>H483/F483*100</f>
        <v>0.18388726342739764</v>
      </c>
      <c r="J483" s="379">
        <f t="shared" si="31"/>
        <v>96.47414619753634</v>
      </c>
    </row>
    <row r="484" spans="1:10" s="130" customFormat="1" ht="16.5" customHeight="1">
      <c r="A484" s="87" t="s">
        <v>303</v>
      </c>
      <c r="B484" s="85" t="s">
        <v>584</v>
      </c>
      <c r="C484" s="85" t="s">
        <v>142</v>
      </c>
      <c r="D484" s="85" t="s">
        <v>1051</v>
      </c>
      <c r="E484" s="85" t="s">
        <v>304</v>
      </c>
      <c r="F484" s="90">
        <v>711251</v>
      </c>
      <c r="G484" s="90">
        <v>1001</v>
      </c>
      <c r="H484" s="90">
        <v>953.2</v>
      </c>
      <c r="I484" s="379">
        <f>H484/F484*100</f>
        <v>0.13401738626729526</v>
      </c>
      <c r="J484" s="379">
        <f t="shared" si="31"/>
        <v>95.22477522477523</v>
      </c>
    </row>
    <row r="485" spans="1:10" s="130" customFormat="1" ht="16.5" customHeight="1">
      <c r="A485" s="87" t="s">
        <v>305</v>
      </c>
      <c r="B485" s="85" t="s">
        <v>584</v>
      </c>
      <c r="C485" s="85" t="s">
        <v>142</v>
      </c>
      <c r="D485" s="85" t="s">
        <v>1051</v>
      </c>
      <c r="E485" s="85" t="s">
        <v>801</v>
      </c>
      <c r="F485" s="243">
        <f>F486+F487+F488</f>
        <v>0</v>
      </c>
      <c r="G485" s="243">
        <f>G486+G487+G488</f>
        <v>354.7</v>
      </c>
      <c r="H485" s="243">
        <f>H486+H487+H488</f>
        <v>354.7</v>
      </c>
      <c r="I485" s="379"/>
      <c r="J485" s="379">
        <f t="shared" si="31"/>
        <v>100</v>
      </c>
    </row>
    <row r="486" spans="1:10" s="130" customFormat="1" ht="40.5" customHeight="1">
      <c r="A486" s="87" t="s">
        <v>872</v>
      </c>
      <c r="B486" s="85" t="s">
        <v>584</v>
      </c>
      <c r="C486" s="85" t="s">
        <v>142</v>
      </c>
      <c r="D486" s="85" t="s">
        <v>1051</v>
      </c>
      <c r="E486" s="85" t="s">
        <v>801</v>
      </c>
      <c r="F486" s="90"/>
      <c r="G486" s="90">
        <v>36</v>
      </c>
      <c r="H486" s="90">
        <v>36</v>
      </c>
      <c r="I486" s="379"/>
      <c r="J486" s="379">
        <f t="shared" si="31"/>
        <v>100</v>
      </c>
    </row>
    <row r="487" spans="1:10" s="130" customFormat="1" ht="22.5" customHeight="1">
      <c r="A487" s="87" t="s">
        <v>873</v>
      </c>
      <c r="B487" s="85" t="s">
        <v>584</v>
      </c>
      <c r="C487" s="85" t="s">
        <v>142</v>
      </c>
      <c r="D487" s="85" t="s">
        <v>1051</v>
      </c>
      <c r="E487" s="85" t="s">
        <v>801</v>
      </c>
      <c r="F487" s="90"/>
      <c r="G487" s="90">
        <v>200</v>
      </c>
      <c r="H487" s="90">
        <v>200</v>
      </c>
      <c r="I487" s="379"/>
      <c r="J487" s="379">
        <f t="shared" si="31"/>
        <v>100</v>
      </c>
    </row>
    <row r="488" spans="1:10" s="130" customFormat="1" ht="24.75" customHeight="1">
      <c r="A488" s="87" t="s">
        <v>1641</v>
      </c>
      <c r="B488" s="85" t="s">
        <v>584</v>
      </c>
      <c r="C488" s="85" t="s">
        <v>142</v>
      </c>
      <c r="D488" s="85" t="s">
        <v>1051</v>
      </c>
      <c r="E488" s="85" t="s">
        <v>801</v>
      </c>
      <c r="F488" s="90"/>
      <c r="G488" s="90">
        <v>118.7</v>
      </c>
      <c r="H488" s="90">
        <v>118.7</v>
      </c>
      <c r="I488" s="379"/>
      <c r="J488" s="379">
        <f t="shared" si="31"/>
        <v>100</v>
      </c>
    </row>
    <row r="489" spans="1:10" s="130" customFormat="1" ht="43.5" customHeight="1">
      <c r="A489" s="93" t="s">
        <v>1399</v>
      </c>
      <c r="B489" s="85" t="s">
        <v>584</v>
      </c>
      <c r="C489" s="85" t="s">
        <v>142</v>
      </c>
      <c r="D489" s="85" t="s">
        <v>1400</v>
      </c>
      <c r="E489" s="85"/>
      <c r="F489" s="243">
        <f>F494+F490+F492</f>
        <v>58881</v>
      </c>
      <c r="G489" s="243">
        <f>G494+G490+G492</f>
        <v>46584.5</v>
      </c>
      <c r="H489" s="243">
        <f>H494+H490+H492</f>
        <v>42649.5</v>
      </c>
      <c r="I489" s="379">
        <f>H489/F489*100</f>
        <v>72.43338258521425</v>
      </c>
      <c r="J489" s="379">
        <f t="shared" si="31"/>
        <v>91.55298436175123</v>
      </c>
    </row>
    <row r="490" spans="1:10" s="130" customFormat="1" ht="21" customHeight="1">
      <c r="A490" s="92" t="s">
        <v>864</v>
      </c>
      <c r="B490" s="85" t="s">
        <v>584</v>
      </c>
      <c r="C490" s="85" t="s">
        <v>142</v>
      </c>
      <c r="D490" s="85" t="s">
        <v>874</v>
      </c>
      <c r="E490" s="85" t="s">
        <v>1071</v>
      </c>
      <c r="F490" s="243">
        <f>F491</f>
        <v>0</v>
      </c>
      <c r="G490" s="243">
        <f>G491</f>
        <v>43829.9</v>
      </c>
      <c r="H490" s="243">
        <f>H491</f>
        <v>40921.5</v>
      </c>
      <c r="I490" s="379"/>
      <c r="J490" s="379">
        <f t="shared" si="31"/>
        <v>93.36434716939806</v>
      </c>
    </row>
    <row r="491" spans="1:10" s="130" customFormat="1" ht="22.5" customHeight="1">
      <c r="A491" s="87" t="s">
        <v>743</v>
      </c>
      <c r="B491" s="85" t="s">
        <v>584</v>
      </c>
      <c r="C491" s="85" t="s">
        <v>142</v>
      </c>
      <c r="D491" s="85" t="s">
        <v>874</v>
      </c>
      <c r="E491" s="85" t="s">
        <v>744</v>
      </c>
      <c r="F491" s="90"/>
      <c r="G491" s="90">
        <v>43829.9</v>
      </c>
      <c r="H491" s="90">
        <v>40921.5</v>
      </c>
      <c r="I491" s="379"/>
      <c r="J491" s="379">
        <f t="shared" si="31"/>
        <v>93.36434716939806</v>
      </c>
    </row>
    <row r="492" spans="1:10" s="130" customFormat="1" ht="19.5" customHeight="1">
      <c r="A492" s="87" t="s">
        <v>875</v>
      </c>
      <c r="B492" s="85" t="s">
        <v>584</v>
      </c>
      <c r="C492" s="85" t="s">
        <v>142</v>
      </c>
      <c r="D492" s="85" t="s">
        <v>876</v>
      </c>
      <c r="E492" s="85" t="s">
        <v>1071</v>
      </c>
      <c r="F492" s="243">
        <f>F493</f>
        <v>0</v>
      </c>
      <c r="G492" s="243">
        <f>G493</f>
        <v>2754.6</v>
      </c>
      <c r="H492" s="243">
        <f>H493</f>
        <v>1728</v>
      </c>
      <c r="I492" s="379"/>
      <c r="J492" s="379">
        <f t="shared" si="31"/>
        <v>62.73143106077108</v>
      </c>
    </row>
    <row r="493" spans="1:10" s="130" customFormat="1" ht="21" customHeight="1">
      <c r="A493" s="87" t="s">
        <v>743</v>
      </c>
      <c r="B493" s="85" t="s">
        <v>584</v>
      </c>
      <c r="C493" s="85" t="s">
        <v>142</v>
      </c>
      <c r="D493" s="85" t="s">
        <v>876</v>
      </c>
      <c r="E493" s="85" t="s">
        <v>744</v>
      </c>
      <c r="F493" s="90"/>
      <c r="G493" s="90">
        <v>2754.6</v>
      </c>
      <c r="H493" s="90">
        <v>1728</v>
      </c>
      <c r="I493" s="379"/>
      <c r="J493" s="379">
        <f t="shared" si="31"/>
        <v>62.73143106077108</v>
      </c>
    </row>
    <row r="494" spans="1:10" s="130" customFormat="1" ht="20.25" customHeight="1">
      <c r="A494" s="87" t="s">
        <v>661</v>
      </c>
      <c r="B494" s="85" t="s">
        <v>584</v>
      </c>
      <c r="C494" s="85" t="s">
        <v>142</v>
      </c>
      <c r="D494" s="85" t="s">
        <v>1401</v>
      </c>
      <c r="E494" s="85" t="s">
        <v>1071</v>
      </c>
      <c r="F494" s="243">
        <f>F495</f>
        <v>58881</v>
      </c>
      <c r="G494" s="243">
        <f>G495</f>
        <v>0</v>
      </c>
      <c r="H494" s="90"/>
      <c r="I494" s="379">
        <f>H494/F494*100</f>
        <v>0</v>
      </c>
      <c r="J494" s="379"/>
    </row>
    <row r="495" spans="1:10" s="130" customFormat="1" ht="36.75" customHeight="1">
      <c r="A495" s="87" t="s">
        <v>743</v>
      </c>
      <c r="B495" s="85" t="s">
        <v>584</v>
      </c>
      <c r="C495" s="85" t="s">
        <v>142</v>
      </c>
      <c r="D495" s="85" t="s">
        <v>1401</v>
      </c>
      <c r="E495" s="85" t="s">
        <v>744</v>
      </c>
      <c r="F495" s="243">
        <f>F496</f>
        <v>58881</v>
      </c>
      <c r="G495" s="243">
        <f>G496</f>
        <v>0</v>
      </c>
      <c r="H495" s="243"/>
      <c r="I495" s="379">
        <f>H495/F495*100</f>
        <v>0</v>
      </c>
      <c r="J495" s="379"/>
    </row>
    <row r="496" spans="1:10" s="130" customFormat="1" ht="20.25" customHeight="1">
      <c r="A496" s="87" t="s">
        <v>745</v>
      </c>
      <c r="B496" s="85" t="s">
        <v>584</v>
      </c>
      <c r="C496" s="85" t="s">
        <v>142</v>
      </c>
      <c r="D496" s="85" t="s">
        <v>1401</v>
      </c>
      <c r="E496" s="85" t="s">
        <v>746</v>
      </c>
      <c r="F496" s="90">
        <v>58881</v>
      </c>
      <c r="G496" s="90">
        <v>0</v>
      </c>
      <c r="H496" s="90"/>
      <c r="I496" s="379">
        <f>H496/F496*100</f>
        <v>0</v>
      </c>
      <c r="J496" s="379"/>
    </row>
    <row r="497" spans="1:10" s="130" customFormat="1" ht="18" customHeight="1">
      <c r="A497" s="93" t="s">
        <v>1402</v>
      </c>
      <c r="B497" s="85" t="s">
        <v>584</v>
      </c>
      <c r="C497" s="85" t="s">
        <v>142</v>
      </c>
      <c r="D497" s="85" t="s">
        <v>1403</v>
      </c>
      <c r="E497" s="85"/>
      <c r="F497" s="243">
        <f>F498</f>
        <v>127565</v>
      </c>
      <c r="G497" s="243">
        <f>G498</f>
        <v>118552</v>
      </c>
      <c r="H497" s="243">
        <f>H498</f>
        <v>116409.4</v>
      </c>
      <c r="I497" s="379">
        <f>H497/F497*100</f>
        <v>91.25496805550112</v>
      </c>
      <c r="J497" s="379">
        <f t="shared" si="31"/>
        <v>98.19269181456238</v>
      </c>
    </row>
    <row r="498" spans="1:10" s="130" customFormat="1" ht="15">
      <c r="A498" s="87" t="s">
        <v>661</v>
      </c>
      <c r="B498" s="85" t="s">
        <v>584</v>
      </c>
      <c r="C498" s="85" t="s">
        <v>142</v>
      </c>
      <c r="D498" s="85" t="s">
        <v>1894</v>
      </c>
      <c r="E498" s="85" t="s">
        <v>1071</v>
      </c>
      <c r="F498" s="243">
        <f>F499+F500+F502</f>
        <v>127565</v>
      </c>
      <c r="G498" s="243">
        <f>G499+G500+G502</f>
        <v>118552</v>
      </c>
      <c r="H498" s="243">
        <f>H499+H500+H502</f>
        <v>116409.4</v>
      </c>
      <c r="I498" s="379">
        <f>H498/F498*100</f>
        <v>91.25496805550112</v>
      </c>
      <c r="J498" s="379">
        <f t="shared" si="31"/>
        <v>98.19269181456238</v>
      </c>
    </row>
    <row r="499" spans="1:10" s="130" customFormat="1" ht="15.75" hidden="1">
      <c r="A499" s="87" t="s">
        <v>925</v>
      </c>
      <c r="B499" s="85" t="s">
        <v>584</v>
      </c>
      <c r="C499" s="85" t="s">
        <v>142</v>
      </c>
      <c r="D499" s="85" t="s">
        <v>1894</v>
      </c>
      <c r="E499" s="85" t="s">
        <v>926</v>
      </c>
      <c r="F499" s="90"/>
      <c r="G499" s="90"/>
      <c r="H499" s="90"/>
      <c r="I499" s="379"/>
      <c r="J499" s="379"/>
    </row>
    <row r="500" spans="1:10" s="130" customFormat="1" ht="15">
      <c r="A500" s="87" t="s">
        <v>743</v>
      </c>
      <c r="B500" s="85" t="s">
        <v>584</v>
      </c>
      <c r="C500" s="85" t="s">
        <v>142</v>
      </c>
      <c r="D500" s="85" t="s">
        <v>1894</v>
      </c>
      <c r="E500" s="85" t="s">
        <v>744</v>
      </c>
      <c r="F500" s="243">
        <f>F501</f>
        <v>118139</v>
      </c>
      <c r="G500" s="243">
        <f>G501</f>
        <v>110714</v>
      </c>
      <c r="H500" s="243">
        <f>H501</f>
        <v>108855.4</v>
      </c>
      <c r="I500" s="379">
        <f>H500/F500*100</f>
        <v>92.1417990672005</v>
      </c>
      <c r="J500" s="379">
        <f t="shared" si="31"/>
        <v>98.32126018389724</v>
      </c>
    </row>
    <row r="501" spans="1:10" s="130" customFormat="1" ht="16.5" customHeight="1">
      <c r="A501" s="87" t="s">
        <v>745</v>
      </c>
      <c r="B501" s="85" t="s">
        <v>584</v>
      </c>
      <c r="C501" s="85" t="s">
        <v>142</v>
      </c>
      <c r="D501" s="85" t="s">
        <v>1894</v>
      </c>
      <c r="E501" s="85" t="s">
        <v>746</v>
      </c>
      <c r="F501" s="90">
        <v>118139</v>
      </c>
      <c r="G501" s="90">
        <f>111154+1060-1500</f>
        <v>110714</v>
      </c>
      <c r="H501" s="90">
        <v>108855.4</v>
      </c>
      <c r="I501" s="379">
        <f>H501/F501*100</f>
        <v>92.1417990672005</v>
      </c>
      <c r="J501" s="379">
        <f t="shared" si="31"/>
        <v>98.32126018389724</v>
      </c>
    </row>
    <row r="502" spans="1:10" s="36" customFormat="1" ht="20.25" customHeight="1">
      <c r="A502" s="87" t="s">
        <v>295</v>
      </c>
      <c r="B502" s="85" t="s">
        <v>584</v>
      </c>
      <c r="C502" s="85" t="s">
        <v>142</v>
      </c>
      <c r="D502" s="85" t="s">
        <v>1894</v>
      </c>
      <c r="E502" s="85" t="s">
        <v>296</v>
      </c>
      <c r="F502" s="243">
        <f>F503</f>
        <v>9426</v>
      </c>
      <c r="G502" s="243">
        <f>G503</f>
        <v>7838</v>
      </c>
      <c r="H502" s="243">
        <f>H503</f>
        <v>7554</v>
      </c>
      <c r="I502" s="379">
        <f>H502/F502*100</f>
        <v>80.14003819223424</v>
      </c>
      <c r="J502" s="379">
        <f t="shared" si="31"/>
        <v>96.37662669048227</v>
      </c>
    </row>
    <row r="503" spans="1:10" ht="24">
      <c r="A503" s="87" t="s">
        <v>303</v>
      </c>
      <c r="B503" s="85" t="s">
        <v>584</v>
      </c>
      <c r="C503" s="85" t="s">
        <v>142</v>
      </c>
      <c r="D503" s="85" t="s">
        <v>1894</v>
      </c>
      <c r="E503" s="85" t="s">
        <v>304</v>
      </c>
      <c r="F503" s="90">
        <v>9426</v>
      </c>
      <c r="G503" s="90">
        <v>7838</v>
      </c>
      <c r="H503" s="90">
        <v>7554</v>
      </c>
      <c r="I503" s="379">
        <f>H503/F503*100</f>
        <v>80.14003819223424</v>
      </c>
      <c r="J503" s="379">
        <f t="shared" si="31"/>
        <v>96.37662669048227</v>
      </c>
    </row>
    <row r="504" spans="1:10" ht="15">
      <c r="A504" s="93" t="s">
        <v>1404</v>
      </c>
      <c r="B504" s="85" t="s">
        <v>584</v>
      </c>
      <c r="C504" s="85" t="s">
        <v>142</v>
      </c>
      <c r="D504" s="85" t="s">
        <v>1405</v>
      </c>
      <c r="E504" s="85"/>
      <c r="F504" s="243">
        <f>F505+F507</f>
        <v>28095</v>
      </c>
      <c r="G504" s="243">
        <f>G505+G507</f>
        <v>20484</v>
      </c>
      <c r="H504" s="243">
        <f>H505+H507</f>
        <v>18287.5</v>
      </c>
      <c r="I504" s="379">
        <f>H504/F504*100</f>
        <v>65.09165331909593</v>
      </c>
      <c r="J504" s="379">
        <f t="shared" si="31"/>
        <v>89.27699668033587</v>
      </c>
    </row>
    <row r="505" spans="1:10" ht="36">
      <c r="A505" s="92" t="s">
        <v>1753</v>
      </c>
      <c r="B505" s="85" t="s">
        <v>584</v>
      </c>
      <c r="C505" s="85" t="s">
        <v>142</v>
      </c>
      <c r="D505" s="85" t="s">
        <v>1754</v>
      </c>
      <c r="E505" s="85" t="s">
        <v>1071</v>
      </c>
      <c r="F505" s="243">
        <f>F506</f>
        <v>0</v>
      </c>
      <c r="G505" s="243">
        <f>G506</f>
        <v>3615</v>
      </c>
      <c r="H505" s="243">
        <f>H506</f>
        <v>2566.1</v>
      </c>
      <c r="I505" s="379"/>
      <c r="J505" s="379">
        <f t="shared" si="31"/>
        <v>70.984785615491</v>
      </c>
    </row>
    <row r="506" spans="1:10" ht="15">
      <c r="A506" s="87" t="s">
        <v>743</v>
      </c>
      <c r="B506" s="85" t="s">
        <v>584</v>
      </c>
      <c r="C506" s="85" t="s">
        <v>142</v>
      </c>
      <c r="D506" s="85" t="s">
        <v>1754</v>
      </c>
      <c r="E506" s="85" t="s">
        <v>744</v>
      </c>
      <c r="F506" s="90"/>
      <c r="G506" s="90">
        <v>3615</v>
      </c>
      <c r="H506" s="90">
        <v>2566.1</v>
      </c>
      <c r="I506" s="379"/>
      <c r="J506" s="379">
        <f t="shared" si="31"/>
        <v>70.984785615491</v>
      </c>
    </row>
    <row r="507" spans="1:10" ht="15">
      <c r="A507" s="87" t="s">
        <v>661</v>
      </c>
      <c r="B507" s="85" t="s">
        <v>584</v>
      </c>
      <c r="C507" s="85" t="s">
        <v>142</v>
      </c>
      <c r="D507" s="85" t="s">
        <v>1406</v>
      </c>
      <c r="E507" s="85" t="s">
        <v>1071</v>
      </c>
      <c r="F507" s="243">
        <f aca="true" t="shared" si="32" ref="F507:H508">F508</f>
        <v>28095</v>
      </c>
      <c r="G507" s="243">
        <f t="shared" si="32"/>
        <v>16869</v>
      </c>
      <c r="H507" s="243">
        <f t="shared" si="32"/>
        <v>15721.4</v>
      </c>
      <c r="I507" s="379">
        <f>H507/F507*100</f>
        <v>55.957999644064785</v>
      </c>
      <c r="J507" s="379">
        <f t="shared" si="31"/>
        <v>93.19698855889501</v>
      </c>
    </row>
    <row r="508" spans="1:10" ht="30" customHeight="1">
      <c r="A508" s="87" t="s">
        <v>743</v>
      </c>
      <c r="B508" s="85" t="s">
        <v>584</v>
      </c>
      <c r="C508" s="85" t="s">
        <v>142</v>
      </c>
      <c r="D508" s="85" t="s">
        <v>1406</v>
      </c>
      <c r="E508" s="85" t="s">
        <v>744</v>
      </c>
      <c r="F508" s="243">
        <f t="shared" si="32"/>
        <v>28095</v>
      </c>
      <c r="G508" s="243">
        <f t="shared" si="32"/>
        <v>16869</v>
      </c>
      <c r="H508" s="243">
        <f t="shared" si="32"/>
        <v>15721.4</v>
      </c>
      <c r="I508" s="379">
        <f>H508/F508*100</f>
        <v>55.957999644064785</v>
      </c>
      <c r="J508" s="379">
        <f t="shared" si="31"/>
        <v>93.19698855889501</v>
      </c>
    </row>
    <row r="509" spans="1:10" ht="24">
      <c r="A509" s="87" t="s">
        <v>745</v>
      </c>
      <c r="B509" s="85" t="s">
        <v>584</v>
      </c>
      <c r="C509" s="85" t="s">
        <v>142</v>
      </c>
      <c r="D509" s="85" t="s">
        <v>1406</v>
      </c>
      <c r="E509" s="85" t="s">
        <v>746</v>
      </c>
      <c r="F509" s="90">
        <v>28095</v>
      </c>
      <c r="G509" s="90">
        <v>16869</v>
      </c>
      <c r="H509" s="90">
        <v>15721.4</v>
      </c>
      <c r="I509" s="379">
        <f>H509/F509*100</f>
        <v>55.957999644064785</v>
      </c>
      <c r="J509" s="379">
        <f t="shared" si="31"/>
        <v>93.19698855889501</v>
      </c>
    </row>
    <row r="510" spans="1:10" ht="15">
      <c r="A510" s="87" t="s">
        <v>577</v>
      </c>
      <c r="B510" s="85" t="s">
        <v>584</v>
      </c>
      <c r="C510" s="85" t="s">
        <v>142</v>
      </c>
      <c r="D510" s="85" t="s">
        <v>576</v>
      </c>
      <c r="E510" s="85" t="s">
        <v>1071</v>
      </c>
      <c r="F510" s="243">
        <f>F511+F512+F513</f>
        <v>0</v>
      </c>
      <c r="G510" s="243">
        <f>G511+G512+G513</f>
        <v>44641</v>
      </c>
      <c r="H510" s="243">
        <f>H511+H512+H513</f>
        <v>43966</v>
      </c>
      <c r="I510" s="379"/>
      <c r="J510" s="379">
        <f t="shared" si="31"/>
        <v>98.48793709818328</v>
      </c>
    </row>
    <row r="511" spans="1:10" ht="15">
      <c r="A511" s="348" t="s">
        <v>89</v>
      </c>
      <c r="B511" s="85" t="s">
        <v>584</v>
      </c>
      <c r="C511" s="85" t="s">
        <v>142</v>
      </c>
      <c r="D511" s="85" t="s">
        <v>576</v>
      </c>
      <c r="E511" s="85" t="s">
        <v>90</v>
      </c>
      <c r="F511" s="90"/>
      <c r="G511" s="90">
        <f>43778</f>
        <v>43778</v>
      </c>
      <c r="H511" s="90">
        <v>43778</v>
      </c>
      <c r="I511" s="379"/>
      <c r="J511" s="379">
        <f t="shared" si="31"/>
        <v>100</v>
      </c>
    </row>
    <row r="512" spans="1:10" ht="15">
      <c r="A512" s="87" t="s">
        <v>302</v>
      </c>
      <c r="B512" s="85" t="s">
        <v>584</v>
      </c>
      <c r="C512" s="85" t="s">
        <v>142</v>
      </c>
      <c r="D512" s="85" t="s">
        <v>576</v>
      </c>
      <c r="E512" s="85" t="s">
        <v>296</v>
      </c>
      <c r="F512" s="90"/>
      <c r="G512" s="90">
        <f>188+675</f>
        <v>863</v>
      </c>
      <c r="H512" s="90">
        <v>188</v>
      </c>
      <c r="I512" s="379"/>
      <c r="J512" s="379">
        <f t="shared" si="31"/>
        <v>21.78447276940904</v>
      </c>
    </row>
    <row r="513" spans="1:10" ht="15.75" hidden="1">
      <c r="A513" s="87" t="s">
        <v>1755</v>
      </c>
      <c r="B513" s="85" t="s">
        <v>584</v>
      </c>
      <c r="C513" s="85" t="s">
        <v>142</v>
      </c>
      <c r="D513" s="85" t="s">
        <v>576</v>
      </c>
      <c r="E513" s="85" t="s">
        <v>801</v>
      </c>
      <c r="F513" s="90">
        <v>0</v>
      </c>
      <c r="G513" s="90">
        <v>0</v>
      </c>
      <c r="H513" s="243"/>
      <c r="I513" s="379" t="e">
        <f aca="true" t="shared" si="33" ref="I513:I519">H513/F513*100</f>
        <v>#DIV/0!</v>
      </c>
      <c r="J513" s="379" t="e">
        <f t="shared" si="31"/>
        <v>#DIV/0!</v>
      </c>
    </row>
    <row r="514" spans="1:10" ht="15">
      <c r="A514" s="86" t="s">
        <v>848</v>
      </c>
      <c r="B514" s="85" t="s">
        <v>584</v>
      </c>
      <c r="C514" s="85" t="s">
        <v>142</v>
      </c>
      <c r="D514" s="85" t="s">
        <v>849</v>
      </c>
      <c r="E514" s="85"/>
      <c r="F514" s="243">
        <f>F517+F519+F516+F525+F529+F532</f>
        <v>8734</v>
      </c>
      <c r="G514" s="243">
        <f>G517+G519+G516+G525+G529+G532</f>
        <v>8749</v>
      </c>
      <c r="H514" s="243">
        <f>H517+H519+H516+H525+H529+H532</f>
        <v>8043.599999999999</v>
      </c>
      <c r="I514" s="379">
        <f t="shared" si="33"/>
        <v>92.09525990382413</v>
      </c>
      <c r="J514" s="379">
        <f t="shared" si="31"/>
        <v>91.93736427020231</v>
      </c>
    </row>
    <row r="515" spans="1:10" ht="15.75" hidden="1">
      <c r="A515" s="87" t="s">
        <v>1407</v>
      </c>
      <c r="B515" s="85" t="s">
        <v>584</v>
      </c>
      <c r="C515" s="85" t="s">
        <v>142</v>
      </c>
      <c r="D515" s="85" t="s">
        <v>1408</v>
      </c>
      <c r="E515" s="85" t="s">
        <v>1409</v>
      </c>
      <c r="F515" s="90"/>
      <c r="G515" s="90"/>
      <c r="H515" s="90"/>
      <c r="I515" s="379" t="e">
        <f t="shared" si="33"/>
        <v>#DIV/0!</v>
      </c>
      <c r="J515" s="379" t="e">
        <f t="shared" si="31"/>
        <v>#DIV/0!</v>
      </c>
    </row>
    <row r="516" spans="1:10" ht="15.75" hidden="1">
      <c r="A516" s="87" t="s">
        <v>924</v>
      </c>
      <c r="B516" s="85" t="s">
        <v>584</v>
      </c>
      <c r="C516" s="85" t="s">
        <v>142</v>
      </c>
      <c r="D516" s="85" t="s">
        <v>849</v>
      </c>
      <c r="E516" s="85" t="s">
        <v>1881</v>
      </c>
      <c r="F516" s="90">
        <v>0</v>
      </c>
      <c r="G516" s="90">
        <v>0</v>
      </c>
      <c r="H516" s="90"/>
      <c r="I516" s="379" t="e">
        <f t="shared" si="33"/>
        <v>#DIV/0!</v>
      </c>
      <c r="J516" s="379" t="e">
        <f t="shared" si="31"/>
        <v>#DIV/0!</v>
      </c>
    </row>
    <row r="517" spans="1:10" ht="20.25" customHeight="1" hidden="1">
      <c r="A517" s="87" t="s">
        <v>1410</v>
      </c>
      <c r="B517" s="85" t="s">
        <v>584</v>
      </c>
      <c r="C517" s="85" t="s">
        <v>142</v>
      </c>
      <c r="D517" s="85" t="s">
        <v>1411</v>
      </c>
      <c r="E517" s="85"/>
      <c r="F517" s="243">
        <f>F518</f>
        <v>0</v>
      </c>
      <c r="G517" s="243">
        <f>G518</f>
        <v>0</v>
      </c>
      <c r="H517" s="243">
        <f>H518</f>
        <v>0</v>
      </c>
      <c r="I517" s="379" t="e">
        <f t="shared" si="33"/>
        <v>#DIV/0!</v>
      </c>
      <c r="J517" s="379" t="e">
        <f t="shared" si="31"/>
        <v>#DIV/0!</v>
      </c>
    </row>
    <row r="518" spans="1:10" s="35" customFormat="1" ht="26.25" customHeight="1" hidden="1">
      <c r="A518" s="87" t="s">
        <v>1758</v>
      </c>
      <c r="B518" s="85" t="s">
        <v>584</v>
      </c>
      <c r="C518" s="85" t="s">
        <v>142</v>
      </c>
      <c r="D518" s="85" t="s">
        <v>1411</v>
      </c>
      <c r="E518" s="85" t="s">
        <v>1878</v>
      </c>
      <c r="F518" s="90"/>
      <c r="G518" s="90"/>
      <c r="H518" s="90"/>
      <c r="I518" s="379" t="e">
        <f t="shared" si="33"/>
        <v>#DIV/0!</v>
      </c>
      <c r="J518" s="379" t="e">
        <f t="shared" si="31"/>
        <v>#DIV/0!</v>
      </c>
    </row>
    <row r="519" spans="1:10" ht="15">
      <c r="A519" s="87" t="s">
        <v>1412</v>
      </c>
      <c r="B519" s="85" t="s">
        <v>584</v>
      </c>
      <c r="C519" s="85" t="s">
        <v>142</v>
      </c>
      <c r="D519" s="85" t="s">
        <v>1413</v>
      </c>
      <c r="E519" s="85" t="s">
        <v>1071</v>
      </c>
      <c r="F519" s="243">
        <f>F520+F521+F522+F523+F524</f>
        <v>8734</v>
      </c>
      <c r="G519" s="243">
        <f>G520+G521+G522+G523+G524</f>
        <v>8749</v>
      </c>
      <c r="H519" s="243">
        <f>H520+H521+H522+H523+H524</f>
        <v>8043.599999999999</v>
      </c>
      <c r="I519" s="379">
        <f t="shared" si="33"/>
        <v>92.09525990382413</v>
      </c>
      <c r="J519" s="379">
        <f t="shared" si="31"/>
        <v>91.93736427020231</v>
      </c>
    </row>
    <row r="520" spans="1:10" ht="15.75" hidden="1">
      <c r="A520" s="87" t="s">
        <v>925</v>
      </c>
      <c r="B520" s="85" t="s">
        <v>584</v>
      </c>
      <c r="C520" s="85" t="s">
        <v>142</v>
      </c>
      <c r="D520" s="85" t="s">
        <v>1413</v>
      </c>
      <c r="E520" s="85" t="s">
        <v>926</v>
      </c>
      <c r="F520" s="90"/>
      <c r="G520" s="90"/>
      <c r="H520" s="243"/>
      <c r="I520" s="379"/>
      <c r="J520" s="379"/>
    </row>
    <row r="521" spans="1:10" ht="15">
      <c r="A521" s="87" t="s">
        <v>743</v>
      </c>
      <c r="B521" s="85" t="s">
        <v>584</v>
      </c>
      <c r="C521" s="85" t="s">
        <v>142</v>
      </c>
      <c r="D521" s="85" t="s">
        <v>1413</v>
      </c>
      <c r="E521" s="85" t="s">
        <v>744</v>
      </c>
      <c r="F521" s="90"/>
      <c r="G521" s="90">
        <v>282</v>
      </c>
      <c r="H521" s="90">
        <v>140.4</v>
      </c>
      <c r="I521" s="379"/>
      <c r="J521" s="379">
        <f t="shared" si="31"/>
        <v>49.787234042553195</v>
      </c>
    </row>
    <row r="522" spans="1:10" ht="24">
      <c r="A522" s="87" t="s">
        <v>745</v>
      </c>
      <c r="B522" s="85" t="s">
        <v>584</v>
      </c>
      <c r="C522" s="85" t="s">
        <v>142</v>
      </c>
      <c r="D522" s="85" t="s">
        <v>1413</v>
      </c>
      <c r="E522" s="85" t="s">
        <v>746</v>
      </c>
      <c r="F522" s="90">
        <v>282</v>
      </c>
      <c r="G522" s="90">
        <v>0</v>
      </c>
      <c r="H522" s="90"/>
      <c r="I522" s="379">
        <f>H522/F522*100</f>
        <v>0</v>
      </c>
      <c r="J522" s="379"/>
    </row>
    <row r="523" spans="1:10" ht="15">
      <c r="A523" s="87" t="s">
        <v>302</v>
      </c>
      <c r="B523" s="85" t="s">
        <v>584</v>
      </c>
      <c r="C523" s="85" t="s">
        <v>142</v>
      </c>
      <c r="D523" s="85" t="s">
        <v>1413</v>
      </c>
      <c r="E523" s="85" t="s">
        <v>296</v>
      </c>
      <c r="F523" s="90"/>
      <c r="G523" s="90">
        <v>8467</v>
      </c>
      <c r="H523" s="90">
        <v>7903.2</v>
      </c>
      <c r="I523" s="379"/>
      <c r="J523" s="379">
        <f t="shared" si="31"/>
        <v>93.34120703909295</v>
      </c>
    </row>
    <row r="524" spans="1:10" ht="24">
      <c r="A524" s="87" t="s">
        <v>745</v>
      </c>
      <c r="B524" s="85" t="s">
        <v>584</v>
      </c>
      <c r="C524" s="85" t="s">
        <v>142</v>
      </c>
      <c r="D524" s="85" t="s">
        <v>1413</v>
      </c>
      <c r="E524" s="85" t="s">
        <v>304</v>
      </c>
      <c r="F524" s="90">
        <v>8452</v>
      </c>
      <c r="G524" s="90">
        <v>0</v>
      </c>
      <c r="H524" s="243"/>
      <c r="I524" s="379"/>
      <c r="J524" s="379"/>
    </row>
    <row r="525" spans="1:10" ht="24" hidden="1">
      <c r="A525" s="87" t="s">
        <v>1756</v>
      </c>
      <c r="B525" s="85" t="s">
        <v>584</v>
      </c>
      <c r="C525" s="85" t="s">
        <v>142</v>
      </c>
      <c r="D525" s="85" t="s">
        <v>1411</v>
      </c>
      <c r="E525" s="85"/>
      <c r="F525" s="243">
        <f>F526</f>
        <v>0</v>
      </c>
      <c r="G525" s="243">
        <f>G526</f>
        <v>0</v>
      </c>
      <c r="H525" s="90"/>
      <c r="I525" s="379"/>
      <c r="J525" s="379" t="e">
        <f t="shared" si="31"/>
        <v>#DIV/0!</v>
      </c>
    </row>
    <row r="526" spans="1:10" ht="24" hidden="1">
      <c r="A526" s="87" t="s">
        <v>1414</v>
      </c>
      <c r="B526" s="85" t="s">
        <v>584</v>
      </c>
      <c r="C526" s="85" t="s">
        <v>142</v>
      </c>
      <c r="D526" s="85" t="s">
        <v>1415</v>
      </c>
      <c r="E526" s="85"/>
      <c r="F526" s="243">
        <f>F527</f>
        <v>0</v>
      </c>
      <c r="G526" s="243">
        <f>G527</f>
        <v>0</v>
      </c>
      <c r="H526" s="243"/>
      <c r="I526" s="379"/>
      <c r="J526" s="379" t="e">
        <f aca="true" t="shared" si="34" ref="J526:J589">H526/G526*100</f>
        <v>#DIV/0!</v>
      </c>
    </row>
    <row r="527" spans="1:10" ht="15.75" hidden="1">
      <c r="A527" s="87" t="s">
        <v>1758</v>
      </c>
      <c r="B527" s="85" t="s">
        <v>584</v>
      </c>
      <c r="C527" s="85" t="s">
        <v>142</v>
      </c>
      <c r="D527" s="85" t="s">
        <v>1415</v>
      </c>
      <c r="E527" s="85" t="s">
        <v>1878</v>
      </c>
      <c r="F527" s="90"/>
      <c r="G527" s="90"/>
      <c r="H527" s="90"/>
      <c r="I527" s="379"/>
      <c r="J527" s="379" t="e">
        <f t="shared" si="34"/>
        <v>#DIV/0!</v>
      </c>
    </row>
    <row r="528" spans="1:10" ht="15">
      <c r="A528" s="86" t="s">
        <v>854</v>
      </c>
      <c r="B528" s="85" t="s">
        <v>584</v>
      </c>
      <c r="C528" s="85" t="s">
        <v>142</v>
      </c>
      <c r="D528" s="85" t="s">
        <v>855</v>
      </c>
      <c r="E528" s="85"/>
      <c r="F528" s="243">
        <f>F535</f>
        <v>0</v>
      </c>
      <c r="G528" s="243">
        <f>G535</f>
        <v>3158.2</v>
      </c>
      <c r="H528" s="243">
        <f>H535</f>
        <v>3158.2</v>
      </c>
      <c r="I528" s="379"/>
      <c r="J528" s="379">
        <f t="shared" si="34"/>
        <v>100</v>
      </c>
    </row>
    <row r="529" spans="1:10" ht="24" hidden="1">
      <c r="A529" s="87" t="s">
        <v>885</v>
      </c>
      <c r="B529" s="85" t="s">
        <v>584</v>
      </c>
      <c r="C529" s="85" t="s">
        <v>142</v>
      </c>
      <c r="D529" s="85" t="s">
        <v>578</v>
      </c>
      <c r="E529" s="85"/>
      <c r="F529" s="243">
        <f>F530</f>
        <v>0</v>
      </c>
      <c r="G529" s="243">
        <f>G530</f>
        <v>0</v>
      </c>
      <c r="H529" s="243">
        <f>H530</f>
        <v>0</v>
      </c>
      <c r="I529" s="379"/>
      <c r="J529" s="379" t="e">
        <f t="shared" si="34"/>
        <v>#DIV/0!</v>
      </c>
    </row>
    <row r="530" spans="1:10" ht="29.25" customHeight="1" hidden="1">
      <c r="A530" s="87" t="s">
        <v>1757</v>
      </c>
      <c r="B530" s="85" t="s">
        <v>584</v>
      </c>
      <c r="C530" s="85" t="s">
        <v>142</v>
      </c>
      <c r="D530" s="85" t="s">
        <v>578</v>
      </c>
      <c r="E530" s="85" t="s">
        <v>926</v>
      </c>
      <c r="F530" s="243"/>
      <c r="G530" s="243"/>
      <c r="H530" s="243"/>
      <c r="I530" s="379"/>
      <c r="J530" s="379" t="e">
        <f t="shared" si="34"/>
        <v>#DIV/0!</v>
      </c>
    </row>
    <row r="531" spans="1:10" ht="15.75" hidden="1">
      <c r="A531" s="87" t="s">
        <v>887</v>
      </c>
      <c r="B531" s="85" t="s">
        <v>584</v>
      </c>
      <c r="C531" s="85" t="s">
        <v>142</v>
      </c>
      <c r="D531" s="85" t="s">
        <v>578</v>
      </c>
      <c r="E531" s="85" t="s">
        <v>926</v>
      </c>
      <c r="F531" s="243"/>
      <c r="G531" s="243"/>
      <c r="H531" s="243"/>
      <c r="I531" s="379"/>
      <c r="J531" s="379" t="e">
        <f t="shared" si="34"/>
        <v>#DIV/0!</v>
      </c>
    </row>
    <row r="532" spans="1:10" ht="36" hidden="1">
      <c r="A532" s="87" t="s">
        <v>886</v>
      </c>
      <c r="B532" s="85" t="s">
        <v>584</v>
      </c>
      <c r="C532" s="85" t="s">
        <v>142</v>
      </c>
      <c r="D532" s="85" t="s">
        <v>579</v>
      </c>
      <c r="E532" s="85"/>
      <c r="F532" s="243">
        <f>F533</f>
        <v>0</v>
      </c>
      <c r="G532" s="243">
        <f>G533</f>
        <v>0</v>
      </c>
      <c r="H532" s="243">
        <f>H533</f>
        <v>0</v>
      </c>
      <c r="I532" s="379"/>
      <c r="J532" s="379" t="e">
        <f t="shared" si="34"/>
        <v>#DIV/0!</v>
      </c>
    </row>
    <row r="533" spans="1:10" ht="24" hidden="1">
      <c r="A533" s="87" t="s">
        <v>1757</v>
      </c>
      <c r="B533" s="85" t="s">
        <v>584</v>
      </c>
      <c r="C533" s="85" t="s">
        <v>142</v>
      </c>
      <c r="D533" s="85" t="s">
        <v>579</v>
      </c>
      <c r="E533" s="85" t="s">
        <v>926</v>
      </c>
      <c r="F533" s="243"/>
      <c r="G533" s="243"/>
      <c r="H533" s="243"/>
      <c r="I533" s="379"/>
      <c r="J533" s="379" t="e">
        <f t="shared" si="34"/>
        <v>#DIV/0!</v>
      </c>
    </row>
    <row r="534" spans="1:10" ht="15.75" hidden="1">
      <c r="A534" s="87" t="s">
        <v>887</v>
      </c>
      <c r="B534" s="85" t="s">
        <v>584</v>
      </c>
      <c r="C534" s="85" t="s">
        <v>142</v>
      </c>
      <c r="D534" s="85" t="s">
        <v>579</v>
      </c>
      <c r="E534" s="85" t="s">
        <v>926</v>
      </c>
      <c r="F534" s="243"/>
      <c r="G534" s="243"/>
      <c r="H534" s="243"/>
      <c r="I534" s="379"/>
      <c r="J534" s="379" t="e">
        <f t="shared" si="34"/>
        <v>#DIV/0!</v>
      </c>
    </row>
    <row r="535" spans="1:10" ht="24">
      <c r="A535" s="87" t="s">
        <v>988</v>
      </c>
      <c r="B535" s="85" t="s">
        <v>584</v>
      </c>
      <c r="C535" s="85" t="s">
        <v>142</v>
      </c>
      <c r="D535" s="85" t="s">
        <v>989</v>
      </c>
      <c r="E535" s="85" t="s">
        <v>1071</v>
      </c>
      <c r="F535" s="243">
        <f>F536+F538+F541</f>
        <v>0</v>
      </c>
      <c r="G535" s="243">
        <f>G536+G538+G541</f>
        <v>3158.2</v>
      </c>
      <c r="H535" s="243">
        <f>H536+H538+H541</f>
        <v>3158.2</v>
      </c>
      <c r="I535" s="379"/>
      <c r="J535" s="379">
        <f t="shared" si="34"/>
        <v>100</v>
      </c>
    </row>
    <row r="536" spans="1:10" ht="60" hidden="1">
      <c r="A536" s="87" t="s">
        <v>990</v>
      </c>
      <c r="B536" s="85" t="s">
        <v>584</v>
      </c>
      <c r="C536" s="85" t="s">
        <v>142</v>
      </c>
      <c r="D536" s="85" t="s">
        <v>578</v>
      </c>
      <c r="E536" s="85" t="s">
        <v>1071</v>
      </c>
      <c r="F536" s="243">
        <f>F537</f>
        <v>0</v>
      </c>
      <c r="G536" s="243">
        <f>G537</f>
        <v>0</v>
      </c>
      <c r="H536" s="243">
        <f>H537</f>
        <v>0</v>
      </c>
      <c r="I536" s="379"/>
      <c r="J536" s="379" t="e">
        <f t="shared" si="34"/>
        <v>#DIV/0!</v>
      </c>
    </row>
    <row r="537" spans="1:10" ht="15.75" hidden="1">
      <c r="A537" s="87" t="s">
        <v>302</v>
      </c>
      <c r="B537" s="85" t="s">
        <v>584</v>
      </c>
      <c r="C537" s="85" t="s">
        <v>142</v>
      </c>
      <c r="D537" s="85" t="s">
        <v>578</v>
      </c>
      <c r="E537" s="85" t="s">
        <v>296</v>
      </c>
      <c r="F537" s="90">
        <f>2000-2000</f>
        <v>0</v>
      </c>
      <c r="G537" s="90">
        <f>2000-2000</f>
        <v>0</v>
      </c>
      <c r="H537" s="90">
        <f>2000-2000</f>
        <v>0</v>
      </c>
      <c r="I537" s="379"/>
      <c r="J537" s="379" t="e">
        <f t="shared" si="34"/>
        <v>#DIV/0!</v>
      </c>
    </row>
    <row r="538" spans="1:10" ht="48">
      <c r="A538" s="87" t="s">
        <v>991</v>
      </c>
      <c r="B538" s="85" t="s">
        <v>584</v>
      </c>
      <c r="C538" s="85" t="s">
        <v>142</v>
      </c>
      <c r="D538" s="85" t="s">
        <v>992</v>
      </c>
      <c r="E538" s="85" t="s">
        <v>1071</v>
      </c>
      <c r="F538" s="243">
        <f>F539+F540</f>
        <v>0</v>
      </c>
      <c r="G538" s="243">
        <f>G539+G540</f>
        <v>2000</v>
      </c>
      <c r="H538" s="243">
        <f>H539+H540</f>
        <v>2000</v>
      </c>
      <c r="I538" s="379"/>
      <c r="J538" s="379">
        <f t="shared" si="34"/>
        <v>100</v>
      </c>
    </row>
    <row r="539" spans="1:10" ht="15">
      <c r="A539" s="87" t="s">
        <v>993</v>
      </c>
      <c r="B539" s="85" t="s">
        <v>584</v>
      </c>
      <c r="C539" s="85" t="s">
        <v>142</v>
      </c>
      <c r="D539" s="85" t="s">
        <v>992</v>
      </c>
      <c r="E539" s="85" t="s">
        <v>90</v>
      </c>
      <c r="F539" s="90"/>
      <c r="G539" s="90">
        <v>1990</v>
      </c>
      <c r="H539" s="105">
        <v>1990</v>
      </c>
      <c r="I539" s="379"/>
      <c r="J539" s="379">
        <f t="shared" si="34"/>
        <v>100</v>
      </c>
    </row>
    <row r="540" spans="1:10" ht="15">
      <c r="A540" s="87" t="s">
        <v>302</v>
      </c>
      <c r="B540" s="85" t="s">
        <v>584</v>
      </c>
      <c r="C540" s="85" t="s">
        <v>142</v>
      </c>
      <c r="D540" s="85" t="s">
        <v>992</v>
      </c>
      <c r="E540" s="85" t="s">
        <v>296</v>
      </c>
      <c r="F540" s="90"/>
      <c r="G540" s="90">
        <v>10</v>
      </c>
      <c r="H540" s="280">
        <v>10</v>
      </c>
      <c r="I540" s="379"/>
      <c r="J540" s="379">
        <f t="shared" si="34"/>
        <v>100</v>
      </c>
    </row>
    <row r="541" spans="1:10" ht="24">
      <c r="A541" s="87" t="s">
        <v>994</v>
      </c>
      <c r="B541" s="85" t="s">
        <v>584</v>
      </c>
      <c r="C541" s="85" t="s">
        <v>142</v>
      </c>
      <c r="D541" s="85" t="s">
        <v>995</v>
      </c>
      <c r="E541" s="85" t="s">
        <v>1071</v>
      </c>
      <c r="F541" s="243">
        <f>F542+F543</f>
        <v>0</v>
      </c>
      <c r="G541" s="243">
        <f>G542+G543</f>
        <v>1158.2</v>
      </c>
      <c r="H541" s="243">
        <f>H542+H543</f>
        <v>1158.2</v>
      </c>
      <c r="I541" s="379"/>
      <c r="J541" s="379">
        <f t="shared" si="34"/>
        <v>100</v>
      </c>
    </row>
    <row r="542" spans="1:10" ht="15">
      <c r="A542" s="87" t="s">
        <v>302</v>
      </c>
      <c r="B542" s="85" t="s">
        <v>584</v>
      </c>
      <c r="C542" s="85" t="s">
        <v>142</v>
      </c>
      <c r="D542" s="85" t="s">
        <v>995</v>
      </c>
      <c r="E542" s="85" t="s">
        <v>296</v>
      </c>
      <c r="F542" s="90"/>
      <c r="G542" s="90">
        <v>421.2</v>
      </c>
      <c r="H542" s="105">
        <v>421.2</v>
      </c>
      <c r="I542" s="379"/>
      <c r="J542" s="379">
        <f t="shared" si="34"/>
        <v>100</v>
      </c>
    </row>
    <row r="543" spans="1:10" ht="24">
      <c r="A543" s="87" t="s">
        <v>303</v>
      </c>
      <c r="B543" s="85" t="s">
        <v>584</v>
      </c>
      <c r="C543" s="85" t="s">
        <v>142</v>
      </c>
      <c r="D543" s="85" t="s">
        <v>995</v>
      </c>
      <c r="E543" s="85" t="s">
        <v>304</v>
      </c>
      <c r="F543" s="90"/>
      <c r="G543" s="90">
        <v>737</v>
      </c>
      <c r="H543" s="105">
        <v>737</v>
      </c>
      <c r="I543" s="379"/>
      <c r="J543" s="379">
        <f t="shared" si="34"/>
        <v>100</v>
      </c>
    </row>
    <row r="544" spans="1:10" ht="15">
      <c r="A544" s="86" t="s">
        <v>909</v>
      </c>
      <c r="B544" s="85" t="s">
        <v>584</v>
      </c>
      <c r="C544" s="85" t="s">
        <v>142</v>
      </c>
      <c r="D544" s="85" t="s">
        <v>910</v>
      </c>
      <c r="E544" s="85"/>
      <c r="F544" s="243">
        <f>F545+F578+F581</f>
        <v>204</v>
      </c>
      <c r="G544" s="243">
        <f>G545+G578+G581</f>
        <v>151088.8</v>
      </c>
      <c r="H544" s="243">
        <f>H545+H578+H581</f>
        <v>146233.69999999998</v>
      </c>
      <c r="I544" s="421" t="s">
        <v>1212</v>
      </c>
      <c r="J544" s="379">
        <f t="shared" si="34"/>
        <v>96.78659172619015</v>
      </c>
    </row>
    <row r="545" spans="1:10" ht="24">
      <c r="A545" s="87" t="s">
        <v>996</v>
      </c>
      <c r="B545" s="85" t="s">
        <v>584</v>
      </c>
      <c r="C545" s="85" t="s">
        <v>142</v>
      </c>
      <c r="D545" s="85" t="s">
        <v>997</v>
      </c>
      <c r="E545" s="85" t="s">
        <v>1071</v>
      </c>
      <c r="F545" s="243">
        <f>F546+F547+F548+F552+F558+F561+F573+F576</f>
        <v>0</v>
      </c>
      <c r="G545" s="243">
        <f>G546+G547+G548+G552+G558+G561+G573+G576</f>
        <v>145374</v>
      </c>
      <c r="H545" s="243">
        <f>H546+H547+H548+H552+H558+H561+H573+H576</f>
        <v>141275.1</v>
      </c>
      <c r="I545" s="379"/>
      <c r="J545" s="379">
        <f t="shared" si="34"/>
        <v>97.18044492137523</v>
      </c>
    </row>
    <row r="546" spans="1:10" ht="24">
      <c r="A546" s="87" t="s">
        <v>484</v>
      </c>
      <c r="B546" s="85" t="s">
        <v>584</v>
      </c>
      <c r="C546" s="85" t="s">
        <v>142</v>
      </c>
      <c r="D546" s="85" t="s">
        <v>997</v>
      </c>
      <c r="E546" s="85" t="s">
        <v>742</v>
      </c>
      <c r="F546" s="90"/>
      <c r="G546" s="90">
        <v>420</v>
      </c>
      <c r="H546" s="90">
        <v>420</v>
      </c>
      <c r="I546" s="379"/>
      <c r="J546" s="379">
        <f t="shared" si="34"/>
        <v>100</v>
      </c>
    </row>
    <row r="547" spans="1:10" ht="15.75" customHeight="1">
      <c r="A547" s="87" t="s">
        <v>485</v>
      </c>
      <c r="B547" s="85" t="s">
        <v>584</v>
      </c>
      <c r="C547" s="85" t="s">
        <v>142</v>
      </c>
      <c r="D547" s="85" t="s">
        <v>997</v>
      </c>
      <c r="E547" s="85" t="s">
        <v>742</v>
      </c>
      <c r="F547" s="90"/>
      <c r="G547" s="90">
        <v>113.7</v>
      </c>
      <c r="H547" s="90">
        <v>113.7</v>
      </c>
      <c r="I547" s="379"/>
      <c r="J547" s="379">
        <f t="shared" si="34"/>
        <v>100</v>
      </c>
    </row>
    <row r="548" spans="1:10" ht="15">
      <c r="A548" s="87" t="s">
        <v>743</v>
      </c>
      <c r="B548" s="83" t="s">
        <v>584</v>
      </c>
      <c r="C548" s="83" t="s">
        <v>142</v>
      </c>
      <c r="D548" s="83" t="s">
        <v>997</v>
      </c>
      <c r="E548" s="83" t="s">
        <v>744</v>
      </c>
      <c r="F548" s="243">
        <f>F549+F550</f>
        <v>0</v>
      </c>
      <c r="G548" s="243">
        <f>G549+G550</f>
        <v>4774.1</v>
      </c>
      <c r="H548" s="243">
        <f>H549+H550</f>
        <v>4288</v>
      </c>
      <c r="I548" s="379"/>
      <c r="J548" s="379">
        <f t="shared" si="34"/>
        <v>89.81797616304644</v>
      </c>
    </row>
    <row r="549" spans="1:10" ht="24">
      <c r="A549" s="87" t="s">
        <v>745</v>
      </c>
      <c r="B549" s="83" t="s">
        <v>584</v>
      </c>
      <c r="C549" s="83" t="s">
        <v>142</v>
      </c>
      <c r="D549" s="83" t="s">
        <v>997</v>
      </c>
      <c r="E549" s="83" t="s">
        <v>746</v>
      </c>
      <c r="F549" s="90"/>
      <c r="G549" s="90">
        <f>3890+184.1</f>
        <v>4074.1</v>
      </c>
      <c r="H549" s="247">
        <v>3589.5</v>
      </c>
      <c r="I549" s="379"/>
      <c r="J549" s="379">
        <f t="shared" si="34"/>
        <v>88.10534842051005</v>
      </c>
    </row>
    <row r="550" spans="1:10" ht="15">
      <c r="A550" s="87" t="s">
        <v>486</v>
      </c>
      <c r="B550" s="83" t="s">
        <v>584</v>
      </c>
      <c r="C550" s="83" t="s">
        <v>142</v>
      </c>
      <c r="D550" s="83" t="s">
        <v>997</v>
      </c>
      <c r="E550" s="83" t="s">
        <v>1637</v>
      </c>
      <c r="F550" s="243">
        <f>F551</f>
        <v>0</v>
      </c>
      <c r="G550" s="243">
        <f>G551</f>
        <v>700</v>
      </c>
      <c r="H550" s="243">
        <f>H551</f>
        <v>698.5</v>
      </c>
      <c r="I550" s="379"/>
      <c r="J550" s="379">
        <f t="shared" si="34"/>
        <v>99.78571428571429</v>
      </c>
    </row>
    <row r="551" spans="1:10" ht="24">
      <c r="A551" s="87" t="s">
        <v>487</v>
      </c>
      <c r="B551" s="83" t="s">
        <v>584</v>
      </c>
      <c r="C551" s="83" t="s">
        <v>142</v>
      </c>
      <c r="D551" s="83" t="s">
        <v>997</v>
      </c>
      <c r="E551" s="83" t="s">
        <v>1637</v>
      </c>
      <c r="F551" s="90"/>
      <c r="G551" s="90">
        <v>700</v>
      </c>
      <c r="H551" s="247">
        <v>698.5</v>
      </c>
      <c r="I551" s="379"/>
      <c r="J551" s="379">
        <f t="shared" si="34"/>
        <v>99.78571428571429</v>
      </c>
    </row>
    <row r="552" spans="1:10" ht="15">
      <c r="A552" s="87" t="s">
        <v>295</v>
      </c>
      <c r="B552" s="83" t="s">
        <v>584</v>
      </c>
      <c r="C552" s="83" t="s">
        <v>142</v>
      </c>
      <c r="D552" s="83" t="s">
        <v>997</v>
      </c>
      <c r="E552" s="83" t="s">
        <v>296</v>
      </c>
      <c r="F552" s="243">
        <f>F553+F554</f>
        <v>0</v>
      </c>
      <c r="G552" s="243">
        <f>G553+G554</f>
        <v>108605.79999999999</v>
      </c>
      <c r="H552" s="243">
        <f>H553+H554</f>
        <v>107157.20000000001</v>
      </c>
      <c r="I552" s="379"/>
      <c r="J552" s="379">
        <f t="shared" si="34"/>
        <v>98.6661854155119</v>
      </c>
    </row>
    <row r="553" spans="1:10" ht="24">
      <c r="A553" s="87" t="s">
        <v>303</v>
      </c>
      <c r="B553" s="83" t="s">
        <v>584</v>
      </c>
      <c r="C553" s="83" t="s">
        <v>142</v>
      </c>
      <c r="D553" s="83" t="s">
        <v>997</v>
      </c>
      <c r="E553" s="83" t="s">
        <v>304</v>
      </c>
      <c r="F553" s="90"/>
      <c r="G553" s="90">
        <f>97870-36-45.6+4115.9-108</f>
        <v>101796.29999999999</v>
      </c>
      <c r="H553" s="247">
        <v>100396.1</v>
      </c>
      <c r="I553" s="379"/>
      <c r="J553" s="379">
        <f t="shared" si="34"/>
        <v>98.62450796345253</v>
      </c>
    </row>
    <row r="554" spans="1:10" ht="15">
      <c r="A554" s="87" t="s">
        <v>305</v>
      </c>
      <c r="B554" s="83" t="s">
        <v>584</v>
      </c>
      <c r="C554" s="83" t="s">
        <v>142</v>
      </c>
      <c r="D554" s="83" t="s">
        <v>997</v>
      </c>
      <c r="E554" s="83" t="s">
        <v>801</v>
      </c>
      <c r="F554" s="243">
        <f>F555+F556+F557</f>
        <v>0</v>
      </c>
      <c r="G554" s="243">
        <f>G555+G556+G557</f>
        <v>6809.5</v>
      </c>
      <c r="H554" s="243">
        <f>H555+H556+H557</f>
        <v>6761.1</v>
      </c>
      <c r="I554" s="379"/>
      <c r="J554" s="379">
        <f t="shared" si="34"/>
        <v>99.28922828401498</v>
      </c>
    </row>
    <row r="555" spans="1:10" ht="24">
      <c r="A555" s="87" t="s">
        <v>488</v>
      </c>
      <c r="B555" s="83" t="s">
        <v>584</v>
      </c>
      <c r="C555" s="83" t="s">
        <v>142</v>
      </c>
      <c r="D555" s="83" t="s">
        <v>997</v>
      </c>
      <c r="E555" s="83" t="s">
        <v>801</v>
      </c>
      <c r="F555" s="90"/>
      <c r="G555" s="90">
        <v>700</v>
      </c>
      <c r="H555" s="105">
        <v>698.8</v>
      </c>
      <c r="I555" s="379"/>
      <c r="J555" s="379">
        <f t="shared" si="34"/>
        <v>99.82857142857142</v>
      </c>
    </row>
    <row r="556" spans="1:10" ht="15">
      <c r="A556" s="87" t="s">
        <v>489</v>
      </c>
      <c r="B556" s="83" t="s">
        <v>584</v>
      </c>
      <c r="C556" s="83" t="s">
        <v>142</v>
      </c>
      <c r="D556" s="83" t="s">
        <v>997</v>
      </c>
      <c r="E556" s="83" t="s">
        <v>801</v>
      </c>
      <c r="F556" s="90"/>
      <c r="G556" s="90">
        <f>2738+500.6+83.2-113.7</f>
        <v>3208.1</v>
      </c>
      <c r="H556" s="90">
        <v>3160.9</v>
      </c>
      <c r="I556" s="379"/>
      <c r="J556" s="379">
        <f t="shared" si="34"/>
        <v>98.52872416695241</v>
      </c>
    </row>
    <row r="557" spans="1:10" ht="24">
      <c r="A557" s="92" t="s">
        <v>1702</v>
      </c>
      <c r="B557" s="83" t="s">
        <v>584</v>
      </c>
      <c r="C557" s="83" t="s">
        <v>142</v>
      </c>
      <c r="D557" s="83" t="s">
        <v>997</v>
      </c>
      <c r="E557" s="83" t="s">
        <v>801</v>
      </c>
      <c r="F557" s="90"/>
      <c r="G557" s="90">
        <v>2901.4</v>
      </c>
      <c r="H557" s="105">
        <v>2901.4</v>
      </c>
      <c r="I557" s="379"/>
      <c r="J557" s="379">
        <f t="shared" si="34"/>
        <v>100</v>
      </c>
    </row>
    <row r="558" spans="1:10" ht="24">
      <c r="A558" s="87" t="s">
        <v>490</v>
      </c>
      <c r="B558" s="83" t="s">
        <v>584</v>
      </c>
      <c r="C558" s="83" t="s">
        <v>142</v>
      </c>
      <c r="D558" s="83" t="s">
        <v>491</v>
      </c>
      <c r="E558" s="83" t="s">
        <v>1071</v>
      </c>
      <c r="F558" s="243">
        <f aca="true" t="shared" si="35" ref="F558:H559">F559</f>
        <v>0</v>
      </c>
      <c r="G558" s="243">
        <f t="shared" si="35"/>
        <v>9908.5</v>
      </c>
      <c r="H558" s="243">
        <f t="shared" si="35"/>
        <v>8510.9</v>
      </c>
      <c r="I558" s="379"/>
      <c r="J558" s="379">
        <f t="shared" si="34"/>
        <v>85.89493868900439</v>
      </c>
    </row>
    <row r="559" spans="1:10" ht="15">
      <c r="A559" s="87" t="s">
        <v>743</v>
      </c>
      <c r="B559" s="83" t="s">
        <v>584</v>
      </c>
      <c r="C559" s="83" t="s">
        <v>142</v>
      </c>
      <c r="D559" s="83" t="s">
        <v>491</v>
      </c>
      <c r="E559" s="83" t="s">
        <v>744</v>
      </c>
      <c r="F559" s="243">
        <f t="shared" si="35"/>
        <v>0</v>
      </c>
      <c r="G559" s="243">
        <f t="shared" si="35"/>
        <v>9908.5</v>
      </c>
      <c r="H559" s="243">
        <f t="shared" si="35"/>
        <v>8510.9</v>
      </c>
      <c r="I559" s="379"/>
      <c r="J559" s="379">
        <f t="shared" si="34"/>
        <v>85.89493868900439</v>
      </c>
    </row>
    <row r="560" spans="1:10" ht="24">
      <c r="A560" s="87" t="s">
        <v>745</v>
      </c>
      <c r="B560" s="83" t="s">
        <v>584</v>
      </c>
      <c r="C560" s="83" t="s">
        <v>142</v>
      </c>
      <c r="D560" s="83" t="s">
        <v>491</v>
      </c>
      <c r="E560" s="83" t="s">
        <v>746</v>
      </c>
      <c r="F560" s="90"/>
      <c r="G560" s="90">
        <f>10078+228.5-20-378</f>
        <v>9908.5</v>
      </c>
      <c r="H560" s="90">
        <v>8510.9</v>
      </c>
      <c r="I560" s="379"/>
      <c r="J560" s="379">
        <f t="shared" si="34"/>
        <v>85.89493868900439</v>
      </c>
    </row>
    <row r="561" spans="1:10" ht="24">
      <c r="A561" s="87" t="s">
        <v>492</v>
      </c>
      <c r="B561" s="83" t="s">
        <v>584</v>
      </c>
      <c r="C561" s="83" t="s">
        <v>142</v>
      </c>
      <c r="D561" s="83" t="s">
        <v>493</v>
      </c>
      <c r="E561" s="83" t="s">
        <v>1071</v>
      </c>
      <c r="F561" s="243">
        <f>F562+F563+F569</f>
        <v>0</v>
      </c>
      <c r="G561" s="243">
        <f>G562+G563+G569</f>
        <v>13897.9</v>
      </c>
      <c r="H561" s="243">
        <f>H562+H563+H569</f>
        <v>13427.3</v>
      </c>
      <c r="I561" s="379"/>
      <c r="J561" s="379">
        <f t="shared" si="34"/>
        <v>96.61387691665647</v>
      </c>
    </row>
    <row r="562" spans="1:10" ht="15">
      <c r="A562" s="87" t="s">
        <v>494</v>
      </c>
      <c r="B562" s="83" t="s">
        <v>584</v>
      </c>
      <c r="C562" s="83" t="s">
        <v>142</v>
      </c>
      <c r="D562" s="83" t="s">
        <v>493</v>
      </c>
      <c r="E562" s="83" t="s">
        <v>742</v>
      </c>
      <c r="F562" s="90"/>
      <c r="G562" s="90">
        <v>350</v>
      </c>
      <c r="H562" s="90">
        <v>350</v>
      </c>
      <c r="I562" s="379"/>
      <c r="J562" s="379">
        <f t="shared" si="34"/>
        <v>100</v>
      </c>
    </row>
    <row r="563" spans="1:10" ht="15">
      <c r="A563" s="87" t="s">
        <v>743</v>
      </c>
      <c r="B563" s="83" t="s">
        <v>584</v>
      </c>
      <c r="C563" s="83" t="s">
        <v>142</v>
      </c>
      <c r="D563" s="83" t="s">
        <v>493</v>
      </c>
      <c r="E563" s="83" t="s">
        <v>744</v>
      </c>
      <c r="F563" s="243">
        <f>F564+F565</f>
        <v>0</v>
      </c>
      <c r="G563" s="243">
        <f>G564+G565</f>
        <v>7846</v>
      </c>
      <c r="H563" s="243">
        <f>H564+H565</f>
        <v>7385.5</v>
      </c>
      <c r="I563" s="379"/>
      <c r="J563" s="379">
        <f t="shared" si="34"/>
        <v>94.13076726994647</v>
      </c>
    </row>
    <row r="564" spans="1:10" ht="24">
      <c r="A564" s="87" t="s">
        <v>745</v>
      </c>
      <c r="B564" s="83" t="s">
        <v>584</v>
      </c>
      <c r="C564" s="83" t="s">
        <v>142</v>
      </c>
      <c r="D564" s="83" t="s">
        <v>493</v>
      </c>
      <c r="E564" s="83" t="s">
        <v>746</v>
      </c>
      <c r="F564" s="90"/>
      <c r="G564" s="90">
        <f>6985+350</f>
        <v>7335</v>
      </c>
      <c r="H564" s="90">
        <v>6874.5</v>
      </c>
      <c r="I564" s="379"/>
      <c r="J564" s="379">
        <f t="shared" si="34"/>
        <v>93.72188139059304</v>
      </c>
    </row>
    <row r="565" spans="1:10" ht="15">
      <c r="A565" s="87" t="s">
        <v>486</v>
      </c>
      <c r="B565" s="83" t="s">
        <v>584</v>
      </c>
      <c r="C565" s="83" t="s">
        <v>142</v>
      </c>
      <c r="D565" s="83" t="s">
        <v>493</v>
      </c>
      <c r="E565" s="83" t="s">
        <v>1637</v>
      </c>
      <c r="F565" s="243">
        <f>F566+F567+F568</f>
        <v>0</v>
      </c>
      <c r="G565" s="243">
        <f>G566+G567+G568</f>
        <v>511</v>
      </c>
      <c r="H565" s="243">
        <f>H566+H567+H568</f>
        <v>511</v>
      </c>
      <c r="I565" s="379"/>
      <c r="J565" s="379">
        <f t="shared" si="34"/>
        <v>100</v>
      </c>
    </row>
    <row r="566" spans="1:10" ht="24">
      <c r="A566" s="87" t="s">
        <v>495</v>
      </c>
      <c r="B566" s="83" t="s">
        <v>584</v>
      </c>
      <c r="C566" s="83" t="s">
        <v>142</v>
      </c>
      <c r="D566" s="83" t="s">
        <v>493</v>
      </c>
      <c r="E566" s="83" t="s">
        <v>1637</v>
      </c>
      <c r="F566" s="90"/>
      <c r="G566" s="90">
        <v>150</v>
      </c>
      <c r="H566" s="90">
        <v>150</v>
      </c>
      <c r="I566" s="379"/>
      <c r="J566" s="379">
        <f t="shared" si="34"/>
        <v>100</v>
      </c>
    </row>
    <row r="567" spans="1:10" ht="36">
      <c r="A567" s="87" t="s">
        <v>1006</v>
      </c>
      <c r="B567" s="83" t="s">
        <v>584</v>
      </c>
      <c r="C567" s="83" t="s">
        <v>142</v>
      </c>
      <c r="D567" s="83" t="s">
        <v>493</v>
      </c>
      <c r="E567" s="83" t="s">
        <v>1637</v>
      </c>
      <c r="F567" s="90"/>
      <c r="G567" s="90">
        <v>180</v>
      </c>
      <c r="H567" s="90">
        <v>180</v>
      </c>
      <c r="I567" s="379"/>
      <c r="J567" s="379">
        <f t="shared" si="34"/>
        <v>100</v>
      </c>
    </row>
    <row r="568" spans="1:10" ht="15">
      <c r="A568" s="87" t="s">
        <v>1007</v>
      </c>
      <c r="B568" s="83" t="s">
        <v>584</v>
      </c>
      <c r="C568" s="83" t="s">
        <v>142</v>
      </c>
      <c r="D568" s="83" t="s">
        <v>493</v>
      </c>
      <c r="E568" s="83" t="s">
        <v>1637</v>
      </c>
      <c r="F568" s="90"/>
      <c r="G568" s="90">
        <v>181</v>
      </c>
      <c r="H568" s="90">
        <v>181</v>
      </c>
      <c r="I568" s="379"/>
      <c r="J568" s="379">
        <f t="shared" si="34"/>
        <v>100</v>
      </c>
    </row>
    <row r="569" spans="1:10" ht="15">
      <c r="A569" s="87" t="s">
        <v>295</v>
      </c>
      <c r="B569" s="83" t="s">
        <v>584</v>
      </c>
      <c r="C569" s="83" t="s">
        <v>142</v>
      </c>
      <c r="D569" s="83" t="s">
        <v>493</v>
      </c>
      <c r="E569" s="83" t="s">
        <v>296</v>
      </c>
      <c r="F569" s="243">
        <f>F570+F571</f>
        <v>0</v>
      </c>
      <c r="G569" s="243">
        <f>G570+G571</f>
        <v>5701.9</v>
      </c>
      <c r="H569" s="243">
        <f>H570+H571</f>
        <v>5691.799999999999</v>
      </c>
      <c r="I569" s="379"/>
      <c r="J569" s="379">
        <f t="shared" si="34"/>
        <v>99.82286606218979</v>
      </c>
    </row>
    <row r="570" spans="1:10" ht="24">
      <c r="A570" s="87" t="s">
        <v>303</v>
      </c>
      <c r="B570" s="83" t="s">
        <v>584</v>
      </c>
      <c r="C570" s="83" t="s">
        <v>142</v>
      </c>
      <c r="D570" s="83" t="s">
        <v>493</v>
      </c>
      <c r="E570" s="83" t="s">
        <v>304</v>
      </c>
      <c r="F570" s="90"/>
      <c r="G570" s="90">
        <v>1004</v>
      </c>
      <c r="H570" s="90">
        <v>993.9</v>
      </c>
      <c r="I570" s="379"/>
      <c r="J570" s="379">
        <f t="shared" si="34"/>
        <v>98.99402390438247</v>
      </c>
    </row>
    <row r="571" spans="1:10" ht="15">
      <c r="A571" s="87" t="s">
        <v>1008</v>
      </c>
      <c r="B571" s="83" t="s">
        <v>584</v>
      </c>
      <c r="C571" s="83" t="s">
        <v>142</v>
      </c>
      <c r="D571" s="83" t="s">
        <v>493</v>
      </c>
      <c r="E571" s="83" t="s">
        <v>801</v>
      </c>
      <c r="F571" s="243">
        <f>F572</f>
        <v>0</v>
      </c>
      <c r="G571" s="243">
        <f>G572</f>
        <v>4697.9</v>
      </c>
      <c r="H571" s="243">
        <f>H572</f>
        <v>4697.9</v>
      </c>
      <c r="I571" s="379"/>
      <c r="J571" s="379">
        <f t="shared" si="34"/>
        <v>100</v>
      </c>
    </row>
    <row r="572" spans="1:10" ht="15">
      <c r="A572" s="87" t="s">
        <v>197</v>
      </c>
      <c r="B572" s="83" t="s">
        <v>584</v>
      </c>
      <c r="C572" s="83" t="s">
        <v>142</v>
      </c>
      <c r="D572" s="83" t="s">
        <v>493</v>
      </c>
      <c r="E572" s="83" t="s">
        <v>801</v>
      </c>
      <c r="F572" s="90"/>
      <c r="G572" s="90">
        <v>4697.9</v>
      </c>
      <c r="H572" s="90">
        <v>4697.9</v>
      </c>
      <c r="I572" s="379"/>
      <c r="J572" s="379">
        <f t="shared" si="34"/>
        <v>100</v>
      </c>
    </row>
    <row r="573" spans="1:10" ht="24">
      <c r="A573" s="87" t="s">
        <v>198</v>
      </c>
      <c r="B573" s="83" t="s">
        <v>584</v>
      </c>
      <c r="C573" s="83" t="s">
        <v>142</v>
      </c>
      <c r="D573" s="83" t="s">
        <v>199</v>
      </c>
      <c r="E573" s="83" t="s">
        <v>1071</v>
      </c>
      <c r="F573" s="243">
        <f aca="true" t="shared" si="36" ref="F573:H574">F574</f>
        <v>0</v>
      </c>
      <c r="G573" s="243">
        <f t="shared" si="36"/>
        <v>7654</v>
      </c>
      <c r="H573" s="243">
        <f t="shared" si="36"/>
        <v>7358</v>
      </c>
      <c r="I573" s="379"/>
      <c r="J573" s="379">
        <f t="shared" si="34"/>
        <v>96.13274105043115</v>
      </c>
    </row>
    <row r="574" spans="1:10" ht="15">
      <c r="A574" s="87" t="s">
        <v>743</v>
      </c>
      <c r="B574" s="83" t="s">
        <v>584</v>
      </c>
      <c r="C574" s="83" t="s">
        <v>142</v>
      </c>
      <c r="D574" s="83" t="s">
        <v>199</v>
      </c>
      <c r="E574" s="83" t="s">
        <v>744</v>
      </c>
      <c r="F574" s="243">
        <f t="shared" si="36"/>
        <v>0</v>
      </c>
      <c r="G574" s="243">
        <f t="shared" si="36"/>
        <v>7654</v>
      </c>
      <c r="H574" s="243">
        <f t="shared" si="36"/>
        <v>7358</v>
      </c>
      <c r="I574" s="379"/>
      <c r="J574" s="379">
        <f t="shared" si="34"/>
        <v>96.13274105043115</v>
      </c>
    </row>
    <row r="575" spans="1:10" ht="24">
      <c r="A575" s="87" t="s">
        <v>745</v>
      </c>
      <c r="B575" s="83" t="s">
        <v>584</v>
      </c>
      <c r="C575" s="83" t="s">
        <v>142</v>
      </c>
      <c r="D575" s="83" t="s">
        <v>199</v>
      </c>
      <c r="E575" s="83" t="s">
        <v>746</v>
      </c>
      <c r="F575" s="90"/>
      <c r="G575" s="90">
        <v>7654</v>
      </c>
      <c r="H575" s="105">
        <v>7358</v>
      </c>
      <c r="I575" s="379"/>
      <c r="J575" s="379">
        <f t="shared" si="34"/>
        <v>96.13274105043115</v>
      </c>
    </row>
    <row r="576" spans="1:10" ht="36" hidden="1">
      <c r="A576" s="87" t="s">
        <v>200</v>
      </c>
      <c r="B576" s="83" t="s">
        <v>584</v>
      </c>
      <c r="C576" s="83" t="s">
        <v>142</v>
      </c>
      <c r="D576" s="83" t="s">
        <v>201</v>
      </c>
      <c r="E576" s="83" t="s">
        <v>1071</v>
      </c>
      <c r="F576" s="243">
        <f>F577</f>
        <v>0</v>
      </c>
      <c r="G576" s="243">
        <f>G577</f>
        <v>0</v>
      </c>
      <c r="H576" s="105"/>
      <c r="I576" s="379"/>
      <c r="J576" s="379"/>
    </row>
    <row r="577" spans="1:10" ht="15.75" hidden="1">
      <c r="A577" s="87" t="s">
        <v>303</v>
      </c>
      <c r="B577" s="83" t="s">
        <v>584</v>
      </c>
      <c r="C577" s="83" t="s">
        <v>142</v>
      </c>
      <c r="D577" s="83" t="s">
        <v>201</v>
      </c>
      <c r="E577" s="83" t="s">
        <v>304</v>
      </c>
      <c r="F577" s="90">
        <f>95.5-95.5</f>
        <v>0</v>
      </c>
      <c r="G577" s="90">
        <f>95.5-95.5</f>
        <v>0</v>
      </c>
      <c r="H577" s="105"/>
      <c r="I577" s="379"/>
      <c r="J577" s="379"/>
    </row>
    <row r="578" spans="1:10" ht="24">
      <c r="A578" s="87" t="s">
        <v>1156</v>
      </c>
      <c r="B578" s="83" t="s">
        <v>584</v>
      </c>
      <c r="C578" s="83" t="s">
        <v>142</v>
      </c>
      <c r="D578" s="83" t="s">
        <v>741</v>
      </c>
      <c r="E578" s="83" t="s">
        <v>1071</v>
      </c>
      <c r="F578" s="243">
        <f aca="true" t="shared" si="37" ref="F578:H579">F579</f>
        <v>204</v>
      </c>
      <c r="G578" s="243">
        <f t="shared" si="37"/>
        <v>204</v>
      </c>
      <c r="H578" s="243">
        <f t="shared" si="37"/>
        <v>170.3</v>
      </c>
      <c r="I578" s="379">
        <f>H578/F578*100</f>
        <v>83.48039215686275</v>
      </c>
      <c r="J578" s="379">
        <f t="shared" si="34"/>
        <v>83.48039215686275</v>
      </c>
    </row>
    <row r="579" spans="1:10" ht="15">
      <c r="A579" s="87" t="s">
        <v>295</v>
      </c>
      <c r="B579" s="83" t="s">
        <v>584</v>
      </c>
      <c r="C579" s="83" t="s">
        <v>142</v>
      </c>
      <c r="D579" s="83" t="s">
        <v>741</v>
      </c>
      <c r="E579" s="83" t="s">
        <v>296</v>
      </c>
      <c r="F579" s="243">
        <f t="shared" si="37"/>
        <v>204</v>
      </c>
      <c r="G579" s="243">
        <f t="shared" si="37"/>
        <v>204</v>
      </c>
      <c r="H579" s="243">
        <f t="shared" si="37"/>
        <v>170.3</v>
      </c>
      <c r="I579" s="379">
        <f>H579/F579*100</f>
        <v>83.48039215686275</v>
      </c>
      <c r="J579" s="379">
        <f t="shared" si="34"/>
        <v>83.48039215686275</v>
      </c>
    </row>
    <row r="580" spans="1:10" ht="24">
      <c r="A580" s="87" t="s">
        <v>303</v>
      </c>
      <c r="B580" s="83" t="s">
        <v>584</v>
      </c>
      <c r="C580" s="83" t="s">
        <v>142</v>
      </c>
      <c r="D580" s="83" t="s">
        <v>741</v>
      </c>
      <c r="E580" s="83" t="s">
        <v>304</v>
      </c>
      <c r="F580" s="90">
        <v>204</v>
      </c>
      <c r="G580" s="90">
        <v>204</v>
      </c>
      <c r="H580" s="90">
        <v>170.3</v>
      </c>
      <c r="I580" s="379">
        <f>H580/F580*100</f>
        <v>83.48039215686275</v>
      </c>
      <c r="J580" s="379">
        <f t="shared" si="34"/>
        <v>83.48039215686275</v>
      </c>
    </row>
    <row r="581" spans="1:10" ht="36">
      <c r="A581" s="87" t="s">
        <v>1157</v>
      </c>
      <c r="B581" s="83" t="s">
        <v>584</v>
      </c>
      <c r="C581" s="83" t="s">
        <v>142</v>
      </c>
      <c r="D581" s="83" t="s">
        <v>1158</v>
      </c>
      <c r="E581" s="83" t="s">
        <v>1071</v>
      </c>
      <c r="F581" s="243">
        <f>F582+F587</f>
        <v>0</v>
      </c>
      <c r="G581" s="243">
        <f>G582+G587</f>
        <v>5510.8</v>
      </c>
      <c r="H581" s="243">
        <f>H582+H587</f>
        <v>4788.299999999999</v>
      </c>
      <c r="I581" s="379"/>
      <c r="J581" s="379">
        <f t="shared" si="34"/>
        <v>86.88938085214485</v>
      </c>
    </row>
    <row r="582" spans="1:10" ht="36">
      <c r="A582" s="87" t="s">
        <v>1159</v>
      </c>
      <c r="B582" s="83" t="s">
        <v>584</v>
      </c>
      <c r="C582" s="83" t="s">
        <v>142</v>
      </c>
      <c r="D582" s="83" t="s">
        <v>1160</v>
      </c>
      <c r="E582" s="83" t="s">
        <v>1071</v>
      </c>
      <c r="F582" s="243">
        <f>F583+F585</f>
        <v>0</v>
      </c>
      <c r="G582" s="243">
        <f>G583+G585</f>
        <v>2871.8</v>
      </c>
      <c r="H582" s="243">
        <f>H583+H585</f>
        <v>2831.2</v>
      </c>
      <c r="I582" s="379"/>
      <c r="J582" s="379">
        <f t="shared" si="34"/>
        <v>98.58625252454905</v>
      </c>
    </row>
    <row r="583" spans="1:10" ht="15">
      <c r="A583" s="87" t="s">
        <v>743</v>
      </c>
      <c r="B583" s="83" t="s">
        <v>584</v>
      </c>
      <c r="C583" s="83" t="s">
        <v>142</v>
      </c>
      <c r="D583" s="83" t="s">
        <v>1160</v>
      </c>
      <c r="E583" s="83" t="s">
        <v>744</v>
      </c>
      <c r="F583" s="243">
        <f>F584</f>
        <v>0</v>
      </c>
      <c r="G583" s="243">
        <f>G584</f>
        <v>57</v>
      </c>
      <c r="H583" s="243">
        <f>H584</f>
        <v>26</v>
      </c>
      <c r="I583" s="379"/>
      <c r="J583" s="379">
        <f t="shared" si="34"/>
        <v>45.614035087719294</v>
      </c>
    </row>
    <row r="584" spans="1:10" ht="24">
      <c r="A584" s="87" t="s">
        <v>745</v>
      </c>
      <c r="B584" s="83" t="s">
        <v>584</v>
      </c>
      <c r="C584" s="83" t="s">
        <v>142</v>
      </c>
      <c r="D584" s="83" t="s">
        <v>1160</v>
      </c>
      <c r="E584" s="83" t="s">
        <v>746</v>
      </c>
      <c r="F584" s="90"/>
      <c r="G584" s="90">
        <v>57</v>
      </c>
      <c r="H584" s="90">
        <v>26</v>
      </c>
      <c r="I584" s="379"/>
      <c r="J584" s="379">
        <f t="shared" si="34"/>
        <v>45.614035087719294</v>
      </c>
    </row>
    <row r="585" spans="1:10" ht="15">
      <c r="A585" s="87" t="s">
        <v>295</v>
      </c>
      <c r="B585" s="83" t="s">
        <v>584</v>
      </c>
      <c r="C585" s="83" t="s">
        <v>142</v>
      </c>
      <c r="D585" s="83" t="s">
        <v>1160</v>
      </c>
      <c r="E585" s="83" t="s">
        <v>296</v>
      </c>
      <c r="F585" s="243">
        <f>F586</f>
        <v>0</v>
      </c>
      <c r="G585" s="243">
        <f>G586</f>
        <v>2814.8</v>
      </c>
      <c r="H585" s="243">
        <f>H586</f>
        <v>2805.2</v>
      </c>
      <c r="I585" s="379"/>
      <c r="J585" s="379">
        <f t="shared" si="34"/>
        <v>99.65894557339774</v>
      </c>
    </row>
    <row r="586" spans="1:10" ht="24">
      <c r="A586" s="87" t="s">
        <v>303</v>
      </c>
      <c r="B586" s="83" t="s">
        <v>584</v>
      </c>
      <c r="C586" s="83" t="s">
        <v>142</v>
      </c>
      <c r="D586" s="83" t="s">
        <v>1160</v>
      </c>
      <c r="E586" s="83" t="s">
        <v>304</v>
      </c>
      <c r="F586" s="90"/>
      <c r="G586" s="90">
        <f>2706.9+107.9</f>
        <v>2814.8</v>
      </c>
      <c r="H586" s="90">
        <v>2805.2</v>
      </c>
      <c r="I586" s="379"/>
      <c r="J586" s="379">
        <f t="shared" si="34"/>
        <v>99.65894557339774</v>
      </c>
    </row>
    <row r="587" spans="1:10" ht="36">
      <c r="A587" s="87" t="s">
        <v>1161</v>
      </c>
      <c r="B587" s="83" t="s">
        <v>584</v>
      </c>
      <c r="C587" s="83" t="s">
        <v>142</v>
      </c>
      <c r="D587" s="83" t="s">
        <v>1162</v>
      </c>
      <c r="E587" s="83" t="s">
        <v>1071</v>
      </c>
      <c r="F587" s="243">
        <f aca="true" t="shared" si="38" ref="F587:H588">F588</f>
        <v>0</v>
      </c>
      <c r="G587" s="243">
        <f t="shared" si="38"/>
        <v>2639</v>
      </c>
      <c r="H587" s="243">
        <f t="shared" si="38"/>
        <v>1957.1</v>
      </c>
      <c r="I587" s="379"/>
      <c r="J587" s="379">
        <f t="shared" si="34"/>
        <v>74.1606669192876</v>
      </c>
    </row>
    <row r="588" spans="1:10" ht="15">
      <c r="A588" s="87" t="s">
        <v>743</v>
      </c>
      <c r="B588" s="83" t="s">
        <v>584</v>
      </c>
      <c r="C588" s="83" t="s">
        <v>142</v>
      </c>
      <c r="D588" s="83" t="s">
        <v>1162</v>
      </c>
      <c r="E588" s="83" t="s">
        <v>744</v>
      </c>
      <c r="F588" s="243">
        <f t="shared" si="38"/>
        <v>0</v>
      </c>
      <c r="G588" s="243">
        <f t="shared" si="38"/>
        <v>2639</v>
      </c>
      <c r="H588" s="243">
        <f t="shared" si="38"/>
        <v>1957.1</v>
      </c>
      <c r="I588" s="379"/>
      <c r="J588" s="379">
        <f t="shared" si="34"/>
        <v>74.1606669192876</v>
      </c>
    </row>
    <row r="589" spans="1:10" ht="24">
      <c r="A589" s="87" t="s">
        <v>745</v>
      </c>
      <c r="B589" s="83" t="s">
        <v>584</v>
      </c>
      <c r="C589" s="83" t="s">
        <v>142</v>
      </c>
      <c r="D589" s="83" t="s">
        <v>1162</v>
      </c>
      <c r="E589" s="83" t="s">
        <v>746</v>
      </c>
      <c r="F589" s="84"/>
      <c r="G589" s="84">
        <f>3139-500</f>
        <v>2639</v>
      </c>
      <c r="H589" s="105">
        <v>1957.1</v>
      </c>
      <c r="I589" s="379"/>
      <c r="J589" s="379">
        <f t="shared" si="34"/>
        <v>74.1606669192876</v>
      </c>
    </row>
    <row r="590" spans="1:10" ht="15.75" hidden="1">
      <c r="A590" s="106" t="s">
        <v>1299</v>
      </c>
      <c r="B590" s="85" t="s">
        <v>584</v>
      </c>
      <c r="C590" s="85" t="s">
        <v>1598</v>
      </c>
      <c r="D590" s="85"/>
      <c r="E590" s="85"/>
      <c r="F590" s="243">
        <f>F591</f>
        <v>0</v>
      </c>
      <c r="G590" s="243">
        <f>G591</f>
        <v>0</v>
      </c>
      <c r="H590" s="243"/>
      <c r="I590" s="379" t="e">
        <f aca="true" t="shared" si="39" ref="I590:I597">H590/F590*100</f>
        <v>#DIV/0!</v>
      </c>
      <c r="J590" s="379" t="e">
        <f aca="true" t="shared" si="40" ref="J590:J653">H590/G590*100</f>
        <v>#DIV/0!</v>
      </c>
    </row>
    <row r="591" spans="1:10" ht="15.75" hidden="1">
      <c r="A591" s="87" t="s">
        <v>661</v>
      </c>
      <c r="B591" s="85" t="s">
        <v>584</v>
      </c>
      <c r="C591" s="85" t="s">
        <v>1598</v>
      </c>
      <c r="D591" s="85" t="s">
        <v>1416</v>
      </c>
      <c r="E591" s="85"/>
      <c r="F591" s="243">
        <f>F592</f>
        <v>0</v>
      </c>
      <c r="G591" s="243">
        <f>G592</f>
        <v>0</v>
      </c>
      <c r="H591" s="105"/>
      <c r="I591" s="379" t="e">
        <f t="shared" si="39"/>
        <v>#DIV/0!</v>
      </c>
      <c r="J591" s="379" t="e">
        <f t="shared" si="40"/>
        <v>#DIV/0!</v>
      </c>
    </row>
    <row r="592" spans="1:10" ht="15.75" hidden="1">
      <c r="A592" s="87" t="s">
        <v>1758</v>
      </c>
      <c r="B592" s="85" t="s">
        <v>584</v>
      </c>
      <c r="C592" s="85" t="s">
        <v>1598</v>
      </c>
      <c r="D592" s="85" t="s">
        <v>1416</v>
      </c>
      <c r="E592" s="85" t="s">
        <v>1878</v>
      </c>
      <c r="F592" s="90">
        <v>0</v>
      </c>
      <c r="G592" s="90">
        <v>0</v>
      </c>
      <c r="H592" s="243"/>
      <c r="I592" s="379" t="e">
        <f t="shared" si="39"/>
        <v>#DIV/0!</v>
      </c>
      <c r="J592" s="379" t="e">
        <f t="shared" si="40"/>
        <v>#DIV/0!</v>
      </c>
    </row>
    <row r="593" spans="1:10" ht="24">
      <c r="A593" s="91" t="s">
        <v>1303</v>
      </c>
      <c r="B593" s="85" t="s">
        <v>584</v>
      </c>
      <c r="C593" s="85" t="s">
        <v>172</v>
      </c>
      <c r="D593" s="85"/>
      <c r="E593" s="85"/>
      <c r="F593" s="243">
        <f>F594+F596</f>
        <v>365</v>
      </c>
      <c r="G593" s="243">
        <f>G594+G596</f>
        <v>365</v>
      </c>
      <c r="H593" s="243">
        <f>H594+H596</f>
        <v>186.4</v>
      </c>
      <c r="I593" s="379">
        <f t="shared" si="39"/>
        <v>51.06849315068494</v>
      </c>
      <c r="J593" s="379">
        <f t="shared" si="40"/>
        <v>51.06849315068494</v>
      </c>
    </row>
    <row r="594" spans="1:10" ht="15.75" hidden="1">
      <c r="A594" s="87" t="s">
        <v>661</v>
      </c>
      <c r="B594" s="85" t="s">
        <v>584</v>
      </c>
      <c r="C594" s="85" t="s">
        <v>172</v>
      </c>
      <c r="D594" s="85" t="s">
        <v>1417</v>
      </c>
      <c r="E594" s="85"/>
      <c r="F594" s="243">
        <f>F595</f>
        <v>0</v>
      </c>
      <c r="G594" s="243">
        <f>G595</f>
        <v>0</v>
      </c>
      <c r="H594" s="243">
        <f>H595</f>
        <v>0</v>
      </c>
      <c r="I594" s="379" t="e">
        <f t="shared" si="39"/>
        <v>#DIV/0!</v>
      </c>
      <c r="J594" s="379" t="e">
        <f t="shared" si="40"/>
        <v>#DIV/0!</v>
      </c>
    </row>
    <row r="595" spans="1:10" ht="15.75" hidden="1">
      <c r="A595" s="87" t="s">
        <v>1758</v>
      </c>
      <c r="B595" s="85" t="s">
        <v>584</v>
      </c>
      <c r="C595" s="85" t="s">
        <v>172</v>
      </c>
      <c r="D595" s="85" t="s">
        <v>1417</v>
      </c>
      <c r="E595" s="85" t="s">
        <v>1878</v>
      </c>
      <c r="F595" s="90"/>
      <c r="G595" s="90"/>
      <c r="H595" s="90"/>
      <c r="I595" s="379" t="e">
        <f t="shared" si="39"/>
        <v>#DIV/0!</v>
      </c>
      <c r="J595" s="379" t="e">
        <f t="shared" si="40"/>
        <v>#DIV/0!</v>
      </c>
    </row>
    <row r="596" spans="1:10" ht="15">
      <c r="A596" s="86" t="s">
        <v>909</v>
      </c>
      <c r="B596" s="85" t="s">
        <v>584</v>
      </c>
      <c r="C596" s="85" t="s">
        <v>172</v>
      </c>
      <c r="D596" s="85" t="s">
        <v>910</v>
      </c>
      <c r="E596" s="85"/>
      <c r="F596" s="243">
        <f>F597</f>
        <v>365</v>
      </c>
      <c r="G596" s="243">
        <f>G597</f>
        <v>365</v>
      </c>
      <c r="H596" s="243">
        <f>H597</f>
        <v>186.4</v>
      </c>
      <c r="I596" s="379">
        <f t="shared" si="39"/>
        <v>51.06849315068494</v>
      </c>
      <c r="J596" s="379">
        <f t="shared" si="40"/>
        <v>51.06849315068494</v>
      </c>
    </row>
    <row r="597" spans="1:10" ht="24">
      <c r="A597" s="87" t="s">
        <v>1163</v>
      </c>
      <c r="B597" s="85" t="s">
        <v>584</v>
      </c>
      <c r="C597" s="85" t="s">
        <v>172</v>
      </c>
      <c r="D597" s="85" t="s">
        <v>1700</v>
      </c>
      <c r="E597" s="85" t="s">
        <v>1071</v>
      </c>
      <c r="F597" s="243">
        <f>F598+F599+F600</f>
        <v>365</v>
      </c>
      <c r="G597" s="243">
        <f>G598+G599+G600</f>
        <v>365</v>
      </c>
      <c r="H597" s="243">
        <f>H598+H599+H600</f>
        <v>186.4</v>
      </c>
      <c r="I597" s="379">
        <f t="shared" si="39"/>
        <v>51.06849315068494</v>
      </c>
      <c r="J597" s="379">
        <f t="shared" si="40"/>
        <v>51.06849315068494</v>
      </c>
    </row>
    <row r="598" spans="1:10" ht="15">
      <c r="A598" s="87" t="s">
        <v>1164</v>
      </c>
      <c r="B598" s="85" t="s">
        <v>584</v>
      </c>
      <c r="C598" s="85" t="s">
        <v>172</v>
      </c>
      <c r="D598" s="85" t="s">
        <v>1700</v>
      </c>
      <c r="E598" s="85" t="s">
        <v>1835</v>
      </c>
      <c r="F598" s="90"/>
      <c r="G598" s="90">
        <v>1.1</v>
      </c>
      <c r="H598" s="90">
        <v>1.1</v>
      </c>
      <c r="I598" s="379"/>
      <c r="J598" s="379">
        <f t="shared" si="40"/>
        <v>100</v>
      </c>
    </row>
    <row r="599" spans="1:10" ht="15">
      <c r="A599" s="87" t="s">
        <v>1165</v>
      </c>
      <c r="B599" s="85" t="s">
        <v>584</v>
      </c>
      <c r="C599" s="85" t="s">
        <v>172</v>
      </c>
      <c r="D599" s="85" t="s">
        <v>1700</v>
      </c>
      <c r="E599" s="85" t="s">
        <v>90</v>
      </c>
      <c r="F599" s="90"/>
      <c r="G599" s="90">
        <v>363.9</v>
      </c>
      <c r="H599" s="105">
        <v>185.3</v>
      </c>
      <c r="I599" s="379"/>
      <c r="J599" s="379">
        <f t="shared" si="40"/>
        <v>50.92058257763122</v>
      </c>
    </row>
    <row r="600" spans="1:10" ht="15">
      <c r="A600" s="87" t="s">
        <v>743</v>
      </c>
      <c r="B600" s="85" t="s">
        <v>584</v>
      </c>
      <c r="C600" s="85" t="s">
        <v>172</v>
      </c>
      <c r="D600" s="85" t="s">
        <v>1700</v>
      </c>
      <c r="E600" s="85" t="s">
        <v>744</v>
      </c>
      <c r="F600" s="243">
        <f>F601+F602</f>
        <v>365</v>
      </c>
      <c r="G600" s="243">
        <f>G601+G602</f>
        <v>0</v>
      </c>
      <c r="H600" s="243"/>
      <c r="I600" s="379">
        <f>H600/F600*100</f>
        <v>0</v>
      </c>
      <c r="J600" s="379"/>
    </row>
    <row r="601" spans="1:10" ht="24">
      <c r="A601" s="87" t="s">
        <v>745</v>
      </c>
      <c r="B601" s="85" t="s">
        <v>584</v>
      </c>
      <c r="C601" s="85" t="s">
        <v>172</v>
      </c>
      <c r="D601" s="85" t="s">
        <v>1700</v>
      </c>
      <c r="E601" s="85" t="s">
        <v>746</v>
      </c>
      <c r="F601" s="90">
        <v>365</v>
      </c>
      <c r="G601" s="90">
        <f>365-365</f>
        <v>0</v>
      </c>
      <c r="H601" s="105"/>
      <c r="I601" s="379">
        <f>H601/F601*100</f>
        <v>0</v>
      </c>
      <c r="J601" s="379"/>
    </row>
    <row r="602" spans="1:10" ht="15.75" hidden="1">
      <c r="A602" s="87" t="s">
        <v>1701</v>
      </c>
      <c r="B602" s="85" t="s">
        <v>584</v>
      </c>
      <c r="C602" s="85" t="s">
        <v>172</v>
      </c>
      <c r="D602" s="85" t="s">
        <v>1700</v>
      </c>
      <c r="E602" s="85" t="s">
        <v>1637</v>
      </c>
      <c r="F602" s="90"/>
      <c r="G602" s="90"/>
      <c r="H602" s="243"/>
      <c r="I602" s="379"/>
      <c r="J602" s="379"/>
    </row>
    <row r="603" spans="1:10" ht="15.75" hidden="1">
      <c r="A603" s="87"/>
      <c r="B603" s="85"/>
      <c r="C603" s="85"/>
      <c r="D603" s="85" t="s">
        <v>1166</v>
      </c>
      <c r="E603" s="85"/>
      <c r="F603" s="90"/>
      <c r="G603" s="90"/>
      <c r="H603" s="105"/>
      <c r="I603" s="379"/>
      <c r="J603" s="379"/>
    </row>
    <row r="604" spans="1:10" ht="15">
      <c r="A604" s="91" t="s">
        <v>1306</v>
      </c>
      <c r="B604" s="85" t="s">
        <v>584</v>
      </c>
      <c r="C604" s="85" t="s">
        <v>584</v>
      </c>
      <c r="D604" s="85"/>
      <c r="E604" s="85"/>
      <c r="F604" s="243">
        <f>F605+F607+F624+F628+F632+F639</f>
        <v>32584</v>
      </c>
      <c r="G604" s="243">
        <f>G605+G607+G624+G628+G639</f>
        <v>43964</v>
      </c>
      <c r="H604" s="243">
        <f>H605+H607+H624+H628+H639</f>
        <v>43482.6</v>
      </c>
      <c r="I604" s="379">
        <f aca="true" t="shared" si="41" ref="I604:I609">H604/F604*100</f>
        <v>133.44770439479498</v>
      </c>
      <c r="J604" s="379">
        <f t="shared" si="40"/>
        <v>98.90501319261213</v>
      </c>
    </row>
    <row r="605" spans="1:10" ht="48" hidden="1">
      <c r="A605" s="86" t="s">
        <v>1646</v>
      </c>
      <c r="B605" s="85" t="s">
        <v>584</v>
      </c>
      <c r="C605" s="85" t="s">
        <v>584</v>
      </c>
      <c r="D605" s="85" t="s">
        <v>1049</v>
      </c>
      <c r="E605" s="85"/>
      <c r="F605" s="243">
        <f>F606</f>
        <v>0</v>
      </c>
      <c r="G605" s="243">
        <f>G606</f>
        <v>0</v>
      </c>
      <c r="H605" s="243">
        <f>H606</f>
        <v>0</v>
      </c>
      <c r="I605" s="379" t="e">
        <f t="shared" si="41"/>
        <v>#DIV/0!</v>
      </c>
      <c r="J605" s="379" t="e">
        <f t="shared" si="40"/>
        <v>#DIV/0!</v>
      </c>
    </row>
    <row r="606" spans="1:10" ht="15.75" hidden="1">
      <c r="A606" s="92" t="s">
        <v>938</v>
      </c>
      <c r="B606" s="85" t="s">
        <v>584</v>
      </c>
      <c r="C606" s="85" t="s">
        <v>584</v>
      </c>
      <c r="D606" s="85" t="s">
        <v>1049</v>
      </c>
      <c r="E606" s="85" t="s">
        <v>1879</v>
      </c>
      <c r="F606" s="90"/>
      <c r="G606" s="90"/>
      <c r="H606" s="90"/>
      <c r="I606" s="379" t="e">
        <f t="shared" si="41"/>
        <v>#DIV/0!</v>
      </c>
      <c r="J606" s="379" t="e">
        <f t="shared" si="40"/>
        <v>#DIV/0!</v>
      </c>
    </row>
    <row r="607" spans="1:10" ht="15">
      <c r="A607" s="93" t="s">
        <v>1647</v>
      </c>
      <c r="B607" s="85" t="s">
        <v>584</v>
      </c>
      <c r="C607" s="85" t="s">
        <v>584</v>
      </c>
      <c r="D607" s="85" t="s">
        <v>1648</v>
      </c>
      <c r="E607" s="85"/>
      <c r="F607" s="243">
        <f>F608+F610+F615+F613</f>
        <v>22584</v>
      </c>
      <c r="G607" s="243">
        <f>G608+G610+G615+G613</f>
        <v>21973</v>
      </c>
      <c r="H607" s="243">
        <f>H608+H610+H615+H613</f>
        <v>21518.5</v>
      </c>
      <c r="I607" s="379">
        <f t="shared" si="41"/>
        <v>95.282058094226</v>
      </c>
      <c r="J607" s="379">
        <f t="shared" si="40"/>
        <v>97.93155235971419</v>
      </c>
    </row>
    <row r="608" spans="1:10" ht="15">
      <c r="A608" s="87" t="s">
        <v>661</v>
      </c>
      <c r="B608" s="85" t="s">
        <v>584</v>
      </c>
      <c r="C608" s="85" t="s">
        <v>584</v>
      </c>
      <c r="D608" s="85" t="s">
        <v>1649</v>
      </c>
      <c r="E608" s="85" t="s">
        <v>1071</v>
      </c>
      <c r="F608" s="243">
        <f>F609</f>
        <v>2000</v>
      </c>
      <c r="G608" s="243">
        <f>G609</f>
        <v>0</v>
      </c>
      <c r="H608" s="243"/>
      <c r="I608" s="379">
        <f t="shared" si="41"/>
        <v>0</v>
      </c>
      <c r="J608" s="379"/>
    </row>
    <row r="609" spans="1:10" ht="15">
      <c r="A609" s="87" t="s">
        <v>743</v>
      </c>
      <c r="B609" s="85" t="s">
        <v>584</v>
      </c>
      <c r="C609" s="85" t="s">
        <v>584</v>
      </c>
      <c r="D609" s="85" t="s">
        <v>1649</v>
      </c>
      <c r="E609" s="85" t="s">
        <v>744</v>
      </c>
      <c r="F609" s="243">
        <f>F611</f>
        <v>2000</v>
      </c>
      <c r="G609" s="243">
        <f>G611</f>
        <v>0</v>
      </c>
      <c r="H609" s="90"/>
      <c r="I609" s="379">
        <f t="shared" si="41"/>
        <v>0</v>
      </c>
      <c r="J609" s="379"/>
    </row>
    <row r="610" spans="1:10" ht="24">
      <c r="A610" s="87" t="s">
        <v>745</v>
      </c>
      <c r="B610" s="85" t="s">
        <v>584</v>
      </c>
      <c r="C610" s="85" t="s">
        <v>584</v>
      </c>
      <c r="D610" s="85" t="s">
        <v>1649</v>
      </c>
      <c r="E610" s="85" t="s">
        <v>746</v>
      </c>
      <c r="F610" s="90"/>
      <c r="G610" s="90"/>
      <c r="H610" s="90"/>
      <c r="I610" s="379"/>
      <c r="J610" s="379"/>
    </row>
    <row r="611" spans="1:10" ht="15">
      <c r="A611" s="87" t="s">
        <v>1167</v>
      </c>
      <c r="B611" s="85" t="s">
        <v>584</v>
      </c>
      <c r="C611" s="85" t="s">
        <v>584</v>
      </c>
      <c r="D611" s="85" t="s">
        <v>1649</v>
      </c>
      <c r="E611" s="85" t="s">
        <v>1637</v>
      </c>
      <c r="F611" s="243">
        <f>F612</f>
        <v>2000</v>
      </c>
      <c r="G611" s="243">
        <f>G612</f>
        <v>0</v>
      </c>
      <c r="H611" s="90"/>
      <c r="I611" s="379">
        <f>H611/F611*100</f>
        <v>0</v>
      </c>
      <c r="J611" s="379"/>
    </row>
    <row r="612" spans="1:10" ht="28.5" customHeight="1">
      <c r="A612" s="87" t="s">
        <v>1356</v>
      </c>
      <c r="B612" s="85" t="s">
        <v>584</v>
      </c>
      <c r="C612" s="85" t="s">
        <v>584</v>
      </c>
      <c r="D612" s="85" t="s">
        <v>1357</v>
      </c>
      <c r="E612" s="85" t="s">
        <v>1637</v>
      </c>
      <c r="F612" s="90">
        <v>2000</v>
      </c>
      <c r="G612" s="90">
        <v>0</v>
      </c>
      <c r="H612" s="243"/>
      <c r="I612" s="379">
        <f>H612/F612*100</f>
        <v>0</v>
      </c>
      <c r="J612" s="379"/>
    </row>
    <row r="613" spans="1:10" ht="36">
      <c r="A613" s="87" t="s">
        <v>1168</v>
      </c>
      <c r="B613" s="85" t="s">
        <v>584</v>
      </c>
      <c r="C613" s="85" t="s">
        <v>584</v>
      </c>
      <c r="D613" s="85" t="s">
        <v>1169</v>
      </c>
      <c r="E613" s="85" t="s">
        <v>1071</v>
      </c>
      <c r="F613" s="243">
        <f>F614</f>
        <v>0</v>
      </c>
      <c r="G613" s="243">
        <f>G614</f>
        <v>4096</v>
      </c>
      <c r="H613" s="243">
        <f>H614</f>
        <v>4096</v>
      </c>
      <c r="I613" s="379"/>
      <c r="J613" s="379">
        <f t="shared" si="40"/>
        <v>100</v>
      </c>
    </row>
    <row r="614" spans="1:10" ht="24">
      <c r="A614" s="87" t="s">
        <v>745</v>
      </c>
      <c r="B614" s="85" t="s">
        <v>584</v>
      </c>
      <c r="C614" s="85" t="s">
        <v>584</v>
      </c>
      <c r="D614" s="85" t="s">
        <v>1169</v>
      </c>
      <c r="E614" s="85" t="s">
        <v>746</v>
      </c>
      <c r="F614" s="90"/>
      <c r="G614" s="90">
        <v>4096</v>
      </c>
      <c r="H614" s="90">
        <v>4096</v>
      </c>
      <c r="I614" s="379"/>
      <c r="J614" s="379">
        <f t="shared" si="40"/>
        <v>100</v>
      </c>
    </row>
    <row r="615" spans="1:10" ht="15">
      <c r="A615" s="87" t="s">
        <v>661</v>
      </c>
      <c r="B615" s="85" t="s">
        <v>584</v>
      </c>
      <c r="C615" s="85" t="s">
        <v>584</v>
      </c>
      <c r="D615" s="85" t="s">
        <v>1047</v>
      </c>
      <c r="E615" s="85" t="s">
        <v>1071</v>
      </c>
      <c r="F615" s="243">
        <f>F616</f>
        <v>20584</v>
      </c>
      <c r="G615" s="243">
        <f>G616</f>
        <v>17877</v>
      </c>
      <c r="H615" s="243">
        <f>H616</f>
        <v>17422.5</v>
      </c>
      <c r="I615" s="379">
        <f>H615/F615*100</f>
        <v>84.64098328799066</v>
      </c>
      <c r="J615" s="379">
        <f t="shared" si="40"/>
        <v>97.45762711864407</v>
      </c>
    </row>
    <row r="616" spans="1:10" ht="15">
      <c r="A616" s="87" t="s">
        <v>743</v>
      </c>
      <c r="B616" s="85" t="s">
        <v>584</v>
      </c>
      <c r="C616" s="85" t="s">
        <v>584</v>
      </c>
      <c r="D616" s="85" t="s">
        <v>1047</v>
      </c>
      <c r="E616" s="85" t="s">
        <v>744</v>
      </c>
      <c r="F616" s="243">
        <f>F617+F618</f>
        <v>20584</v>
      </c>
      <c r="G616" s="243">
        <f>G617+G618</f>
        <v>17877</v>
      </c>
      <c r="H616" s="243">
        <f>H617+H618</f>
        <v>17422.5</v>
      </c>
      <c r="I616" s="379">
        <f>H616/F616*100</f>
        <v>84.64098328799066</v>
      </c>
      <c r="J616" s="379">
        <f t="shared" si="40"/>
        <v>97.45762711864407</v>
      </c>
    </row>
    <row r="617" spans="1:10" ht="24">
      <c r="A617" s="87" t="s">
        <v>745</v>
      </c>
      <c r="B617" s="85" t="s">
        <v>584</v>
      </c>
      <c r="C617" s="85" t="s">
        <v>584</v>
      </c>
      <c r="D617" s="85" t="s">
        <v>1047</v>
      </c>
      <c r="E617" s="85" t="s">
        <v>746</v>
      </c>
      <c r="F617" s="90">
        <v>20584</v>
      </c>
      <c r="G617" s="90">
        <f>20584-817-3103.7-235.4-1890-992.3</f>
        <v>13545.599999999999</v>
      </c>
      <c r="H617" s="90">
        <v>13454.2</v>
      </c>
      <c r="I617" s="379">
        <f>H617/F617*100</f>
        <v>65.36241741158182</v>
      </c>
      <c r="J617" s="379">
        <f t="shared" si="40"/>
        <v>99.32524214505081</v>
      </c>
    </row>
    <row r="618" spans="1:10" ht="15">
      <c r="A618" s="87" t="s">
        <v>1170</v>
      </c>
      <c r="B618" s="85" t="s">
        <v>584</v>
      </c>
      <c r="C618" s="85" t="s">
        <v>584</v>
      </c>
      <c r="D618" s="85" t="s">
        <v>1047</v>
      </c>
      <c r="E618" s="85" t="s">
        <v>1637</v>
      </c>
      <c r="F618" s="243">
        <f>F619+F620+F621+F622+F623</f>
        <v>0</v>
      </c>
      <c r="G618" s="243">
        <f>G619+G620+G621+G622+G623</f>
        <v>4331.4</v>
      </c>
      <c r="H618" s="243">
        <f>H619+H620+H621+H622+H623</f>
        <v>3968.3</v>
      </c>
      <c r="I618" s="379"/>
      <c r="J618" s="379">
        <f t="shared" si="40"/>
        <v>91.61702913607611</v>
      </c>
    </row>
    <row r="619" spans="1:10" ht="15">
      <c r="A619" s="87" t="s">
        <v>1171</v>
      </c>
      <c r="B619" s="85" t="s">
        <v>584</v>
      </c>
      <c r="C619" s="85" t="s">
        <v>584</v>
      </c>
      <c r="D619" s="85" t="s">
        <v>1047</v>
      </c>
      <c r="E619" s="85" t="s">
        <v>1637</v>
      </c>
      <c r="F619" s="90"/>
      <c r="G619" s="90">
        <v>2450.6</v>
      </c>
      <c r="H619" s="248">
        <v>2450.6</v>
      </c>
      <c r="I619" s="379"/>
      <c r="J619" s="379">
        <f t="shared" si="40"/>
        <v>100</v>
      </c>
    </row>
    <row r="620" spans="1:10" ht="24">
      <c r="A620" s="87" t="s">
        <v>1172</v>
      </c>
      <c r="B620" s="85" t="s">
        <v>584</v>
      </c>
      <c r="C620" s="85" t="s">
        <v>584</v>
      </c>
      <c r="D620" s="85" t="s">
        <v>1047</v>
      </c>
      <c r="E620" s="85" t="s">
        <v>1637</v>
      </c>
      <c r="F620" s="90"/>
      <c r="G620" s="90">
        <f>327.5+136.1</f>
        <v>463.6</v>
      </c>
      <c r="H620" s="90">
        <v>183.9</v>
      </c>
      <c r="I620" s="379"/>
      <c r="J620" s="379">
        <f t="shared" si="40"/>
        <v>39.66781708369284</v>
      </c>
    </row>
    <row r="621" spans="1:10" ht="36">
      <c r="A621" s="87" t="s">
        <v>1173</v>
      </c>
      <c r="B621" s="85" t="s">
        <v>584</v>
      </c>
      <c r="C621" s="85" t="s">
        <v>584</v>
      </c>
      <c r="D621" s="85" t="s">
        <v>1047</v>
      </c>
      <c r="E621" s="85" t="s">
        <v>1637</v>
      </c>
      <c r="F621" s="90"/>
      <c r="G621" s="90">
        <f>231.8+70.2</f>
        <v>302</v>
      </c>
      <c r="H621" s="90">
        <v>281</v>
      </c>
      <c r="I621" s="379"/>
      <c r="J621" s="379">
        <f t="shared" si="40"/>
        <v>93.04635761589404</v>
      </c>
    </row>
    <row r="622" spans="1:10" ht="15">
      <c r="A622" s="87" t="s">
        <v>1641</v>
      </c>
      <c r="B622" s="85" t="s">
        <v>584</v>
      </c>
      <c r="C622" s="85" t="s">
        <v>584</v>
      </c>
      <c r="D622" s="85" t="s">
        <v>1047</v>
      </c>
      <c r="E622" s="85" t="s">
        <v>1637</v>
      </c>
      <c r="F622" s="90"/>
      <c r="G622" s="90">
        <f>93.8+786</f>
        <v>879.8</v>
      </c>
      <c r="H622" s="90">
        <v>817.4</v>
      </c>
      <c r="I622" s="379"/>
      <c r="J622" s="379">
        <f t="shared" si="40"/>
        <v>92.90747897249375</v>
      </c>
    </row>
    <row r="623" spans="1:10" ht="15">
      <c r="A623" s="358" t="s">
        <v>1174</v>
      </c>
      <c r="B623" s="85" t="s">
        <v>584</v>
      </c>
      <c r="C623" s="85" t="s">
        <v>584</v>
      </c>
      <c r="D623" s="85" t="s">
        <v>1047</v>
      </c>
      <c r="E623" s="85" t="s">
        <v>1637</v>
      </c>
      <c r="F623" s="90"/>
      <c r="G623" s="90">
        <v>235.4</v>
      </c>
      <c r="H623" s="248">
        <v>235.4</v>
      </c>
      <c r="I623" s="379"/>
      <c r="J623" s="379">
        <f t="shared" si="40"/>
        <v>100</v>
      </c>
    </row>
    <row r="624" spans="1:10" ht="24">
      <c r="A624" s="360" t="s">
        <v>1664</v>
      </c>
      <c r="B624" s="85" t="s">
        <v>584</v>
      </c>
      <c r="C624" s="85" t="s">
        <v>584</v>
      </c>
      <c r="D624" s="85" t="s">
        <v>1665</v>
      </c>
      <c r="E624" s="85" t="s">
        <v>1071</v>
      </c>
      <c r="F624" s="243">
        <f>F625</f>
        <v>0</v>
      </c>
      <c r="G624" s="243">
        <f>G625</f>
        <v>900</v>
      </c>
      <c r="H624" s="243">
        <f>H625</f>
        <v>897.4</v>
      </c>
      <c r="I624" s="379"/>
      <c r="J624" s="379">
        <f t="shared" si="40"/>
        <v>99.71111111111111</v>
      </c>
    </row>
    <row r="625" spans="1:10" ht="15">
      <c r="A625" s="87" t="s">
        <v>1170</v>
      </c>
      <c r="B625" s="85" t="s">
        <v>584</v>
      </c>
      <c r="C625" s="85" t="s">
        <v>584</v>
      </c>
      <c r="D625" s="85" t="s">
        <v>1665</v>
      </c>
      <c r="E625" s="85" t="s">
        <v>1637</v>
      </c>
      <c r="F625" s="243">
        <f>F626+F627</f>
        <v>0</v>
      </c>
      <c r="G625" s="243">
        <f>G626+G627</f>
        <v>900</v>
      </c>
      <c r="H625" s="243">
        <f>H626+H627</f>
        <v>897.4</v>
      </c>
      <c r="I625" s="379"/>
      <c r="J625" s="379">
        <f t="shared" si="40"/>
        <v>99.71111111111111</v>
      </c>
    </row>
    <row r="626" spans="1:10" ht="15">
      <c r="A626" s="87" t="s">
        <v>1175</v>
      </c>
      <c r="B626" s="85" t="s">
        <v>584</v>
      </c>
      <c r="C626" s="85" t="s">
        <v>584</v>
      </c>
      <c r="D626" s="85" t="s">
        <v>1665</v>
      </c>
      <c r="E626" s="85" t="s">
        <v>1637</v>
      </c>
      <c r="F626" s="90"/>
      <c r="G626" s="90">
        <v>150</v>
      </c>
      <c r="H626" s="90">
        <v>150</v>
      </c>
      <c r="I626" s="379"/>
      <c r="J626" s="379">
        <f t="shared" si="40"/>
        <v>100</v>
      </c>
    </row>
    <row r="627" spans="1:10" ht="24">
      <c r="A627" s="87" t="s">
        <v>1176</v>
      </c>
      <c r="B627" s="85" t="s">
        <v>584</v>
      </c>
      <c r="C627" s="85" t="s">
        <v>584</v>
      </c>
      <c r="D627" s="85" t="s">
        <v>1665</v>
      </c>
      <c r="E627" s="85" t="s">
        <v>1637</v>
      </c>
      <c r="F627" s="90"/>
      <c r="G627" s="90">
        <v>750</v>
      </c>
      <c r="H627" s="105">
        <v>747.4</v>
      </c>
      <c r="I627" s="379"/>
      <c r="J627" s="379">
        <f t="shared" si="40"/>
        <v>99.65333333333332</v>
      </c>
    </row>
    <row r="628" spans="1:10" ht="15">
      <c r="A628" s="93" t="s">
        <v>1177</v>
      </c>
      <c r="B628" s="85" t="s">
        <v>584</v>
      </c>
      <c r="C628" s="85" t="s">
        <v>584</v>
      </c>
      <c r="D628" s="85" t="s">
        <v>1178</v>
      </c>
      <c r="E628" s="85" t="s">
        <v>1071</v>
      </c>
      <c r="F628" s="243">
        <f>F629+F630+F631+F635</f>
        <v>0</v>
      </c>
      <c r="G628" s="243">
        <f>G629+G630+G631+G635</f>
        <v>8349</v>
      </c>
      <c r="H628" s="243">
        <f>H629+H630+H631+H635</f>
        <v>8349</v>
      </c>
      <c r="I628" s="379"/>
      <c r="J628" s="379">
        <f t="shared" si="40"/>
        <v>100</v>
      </c>
    </row>
    <row r="629" spans="1:10" ht="15">
      <c r="A629" s="87" t="s">
        <v>993</v>
      </c>
      <c r="B629" s="85" t="s">
        <v>584</v>
      </c>
      <c r="C629" s="85" t="s">
        <v>584</v>
      </c>
      <c r="D629" s="85" t="s">
        <v>1178</v>
      </c>
      <c r="E629" s="85" t="s">
        <v>90</v>
      </c>
      <c r="F629" s="90"/>
      <c r="G629" s="90">
        <f>32-0.9</f>
        <v>31.1</v>
      </c>
      <c r="H629" s="105">
        <v>31.1</v>
      </c>
      <c r="I629" s="379"/>
      <c r="J629" s="379">
        <f t="shared" si="40"/>
        <v>100</v>
      </c>
    </row>
    <row r="630" spans="1:10" ht="24">
      <c r="A630" s="87" t="s">
        <v>868</v>
      </c>
      <c r="B630" s="85" t="s">
        <v>584</v>
      </c>
      <c r="C630" s="85" t="s">
        <v>584</v>
      </c>
      <c r="D630" s="85" t="s">
        <v>1178</v>
      </c>
      <c r="E630" s="85" t="s">
        <v>869</v>
      </c>
      <c r="F630" s="90"/>
      <c r="G630" s="90">
        <f>600+46.7+46.1</f>
        <v>692.8000000000001</v>
      </c>
      <c r="H630" s="90">
        <v>692.8</v>
      </c>
      <c r="I630" s="379"/>
      <c r="J630" s="379">
        <f t="shared" si="40"/>
        <v>99.99999999999999</v>
      </c>
    </row>
    <row r="631" spans="1:10" ht="15">
      <c r="A631" s="87" t="s">
        <v>743</v>
      </c>
      <c r="B631" s="85" t="s">
        <v>584</v>
      </c>
      <c r="C631" s="85" t="s">
        <v>584</v>
      </c>
      <c r="D631" s="85" t="s">
        <v>1178</v>
      </c>
      <c r="E631" s="85" t="s">
        <v>744</v>
      </c>
      <c r="F631" s="90"/>
      <c r="G631" s="90">
        <f>300+1336.6-435.9</f>
        <v>1200.6999999999998</v>
      </c>
      <c r="H631" s="90">
        <v>1200.7</v>
      </c>
      <c r="I631" s="379"/>
      <c r="J631" s="379">
        <f t="shared" si="40"/>
        <v>100.00000000000003</v>
      </c>
    </row>
    <row r="632" spans="1:10" ht="15">
      <c r="A632" s="87" t="s">
        <v>1179</v>
      </c>
      <c r="B632" s="85" t="s">
        <v>584</v>
      </c>
      <c r="C632" s="85" t="s">
        <v>584</v>
      </c>
      <c r="D632" s="85" t="s">
        <v>580</v>
      </c>
      <c r="E632" s="85" t="s">
        <v>744</v>
      </c>
      <c r="F632" s="243">
        <f>F633</f>
        <v>10000</v>
      </c>
      <c r="G632" s="243">
        <f>G633</f>
        <v>0</v>
      </c>
      <c r="H632" s="243"/>
      <c r="I632" s="379">
        <f>H632/F632*100</f>
        <v>0</v>
      </c>
      <c r="J632" s="379"/>
    </row>
    <row r="633" spans="1:10" ht="15">
      <c r="A633" s="87" t="s">
        <v>1167</v>
      </c>
      <c r="B633" s="85" t="s">
        <v>584</v>
      </c>
      <c r="C633" s="85" t="s">
        <v>584</v>
      </c>
      <c r="D633" s="85" t="s">
        <v>1358</v>
      </c>
      <c r="E633" s="85" t="s">
        <v>1637</v>
      </c>
      <c r="F633" s="243">
        <f>F634</f>
        <v>10000</v>
      </c>
      <c r="G633" s="243">
        <f>G634</f>
        <v>0</v>
      </c>
      <c r="H633" s="243"/>
      <c r="I633" s="379">
        <f>H633/F633*100</f>
        <v>0</v>
      </c>
      <c r="J633" s="379"/>
    </row>
    <row r="634" spans="1:10" ht="15">
      <c r="A634" s="87" t="s">
        <v>1180</v>
      </c>
      <c r="B634" s="85" t="s">
        <v>584</v>
      </c>
      <c r="C634" s="85" t="s">
        <v>584</v>
      </c>
      <c r="D634" s="85" t="s">
        <v>580</v>
      </c>
      <c r="E634" s="85" t="s">
        <v>1637</v>
      </c>
      <c r="F634" s="90">
        <v>10000</v>
      </c>
      <c r="G634" s="90">
        <f>10000-10000</f>
        <v>0</v>
      </c>
      <c r="H634" s="105"/>
      <c r="I634" s="379">
        <f>H634/F634*100</f>
        <v>0</v>
      </c>
      <c r="J634" s="379"/>
    </row>
    <row r="635" spans="1:10" ht="15">
      <c r="A635" s="87" t="s">
        <v>295</v>
      </c>
      <c r="B635" s="85" t="s">
        <v>584</v>
      </c>
      <c r="C635" s="85" t="s">
        <v>584</v>
      </c>
      <c r="D635" s="85" t="s">
        <v>1178</v>
      </c>
      <c r="E635" s="85" t="s">
        <v>296</v>
      </c>
      <c r="F635" s="90"/>
      <c r="G635" s="90">
        <f>7417-1336.6+390.1-46.1</f>
        <v>6424.4</v>
      </c>
      <c r="H635" s="105">
        <v>6424.4</v>
      </c>
      <c r="I635" s="379"/>
      <c r="J635" s="379">
        <f t="shared" si="40"/>
        <v>100</v>
      </c>
    </row>
    <row r="636" spans="1:10" ht="15.75" hidden="1">
      <c r="A636" s="87" t="s">
        <v>1181</v>
      </c>
      <c r="B636" s="85" t="s">
        <v>584</v>
      </c>
      <c r="C636" s="85" t="s">
        <v>584</v>
      </c>
      <c r="D636" s="85" t="s">
        <v>580</v>
      </c>
      <c r="E636" s="85" t="s">
        <v>296</v>
      </c>
      <c r="F636" s="90">
        <f>F637</f>
        <v>0</v>
      </c>
      <c r="G636" s="90">
        <f>G637</f>
        <v>0</v>
      </c>
      <c r="H636" s="105"/>
      <c r="I636" s="379"/>
      <c r="J636" s="379" t="e">
        <f t="shared" si="40"/>
        <v>#DIV/0!</v>
      </c>
    </row>
    <row r="637" spans="1:10" ht="15.75" hidden="1">
      <c r="A637" s="87" t="s">
        <v>1182</v>
      </c>
      <c r="B637" s="85" t="s">
        <v>584</v>
      </c>
      <c r="C637" s="85" t="s">
        <v>584</v>
      </c>
      <c r="D637" s="85" t="s">
        <v>580</v>
      </c>
      <c r="E637" s="85" t="s">
        <v>801</v>
      </c>
      <c r="F637" s="90">
        <f>F638</f>
        <v>0</v>
      </c>
      <c r="G637" s="90">
        <f>G638</f>
        <v>0</v>
      </c>
      <c r="H637" s="243"/>
      <c r="I637" s="379"/>
      <c r="J637" s="379" t="e">
        <f t="shared" si="40"/>
        <v>#DIV/0!</v>
      </c>
    </row>
    <row r="638" spans="1:10" ht="15.75" hidden="1">
      <c r="A638" s="87" t="s">
        <v>1180</v>
      </c>
      <c r="B638" s="85" t="s">
        <v>584</v>
      </c>
      <c r="C638" s="85" t="s">
        <v>584</v>
      </c>
      <c r="D638" s="85" t="s">
        <v>580</v>
      </c>
      <c r="E638" s="85" t="s">
        <v>801</v>
      </c>
      <c r="F638" s="90"/>
      <c r="G638" s="90"/>
      <c r="H638" s="243"/>
      <c r="I638" s="379"/>
      <c r="J638" s="379" t="e">
        <f t="shared" si="40"/>
        <v>#DIV/0!</v>
      </c>
    </row>
    <row r="639" spans="1:10" ht="15">
      <c r="A639" s="86" t="s">
        <v>909</v>
      </c>
      <c r="B639" s="85" t="s">
        <v>584</v>
      </c>
      <c r="C639" s="85" t="s">
        <v>584</v>
      </c>
      <c r="D639" s="85" t="s">
        <v>910</v>
      </c>
      <c r="E639" s="85"/>
      <c r="F639" s="243">
        <f>F640+F650</f>
        <v>0</v>
      </c>
      <c r="G639" s="243">
        <f>G640+G650</f>
        <v>12742</v>
      </c>
      <c r="H639" s="243">
        <f>H640+H650</f>
        <v>12717.699999999999</v>
      </c>
      <c r="I639" s="379"/>
      <c r="J639" s="379">
        <f t="shared" si="40"/>
        <v>99.80929210485009</v>
      </c>
    </row>
    <row r="640" spans="1:10" ht="24">
      <c r="A640" s="95" t="s">
        <v>1183</v>
      </c>
      <c r="B640" s="85" t="s">
        <v>584</v>
      </c>
      <c r="C640" s="85" t="s">
        <v>584</v>
      </c>
      <c r="D640" s="85" t="s">
        <v>1184</v>
      </c>
      <c r="E640" s="85" t="s">
        <v>1071</v>
      </c>
      <c r="F640" s="243">
        <f>F641+F642+F643+F647</f>
        <v>0</v>
      </c>
      <c r="G640" s="243">
        <f>G641+G642+G643+G647</f>
        <v>10000</v>
      </c>
      <c r="H640" s="243">
        <f>H641+H642+H643+H647</f>
        <v>9987.099999999999</v>
      </c>
      <c r="I640" s="379"/>
      <c r="J640" s="379">
        <f t="shared" si="40"/>
        <v>99.87099999999998</v>
      </c>
    </row>
    <row r="641" spans="1:10" ht="15">
      <c r="A641" s="87" t="s">
        <v>993</v>
      </c>
      <c r="B641" s="85" t="s">
        <v>584</v>
      </c>
      <c r="C641" s="85" t="s">
        <v>584</v>
      </c>
      <c r="D641" s="85" t="s">
        <v>1184</v>
      </c>
      <c r="E641" s="85" t="s">
        <v>90</v>
      </c>
      <c r="F641" s="90"/>
      <c r="G641" s="90">
        <f>10000-9932+7.4</f>
        <v>75.4</v>
      </c>
      <c r="H641" s="90">
        <v>75.4</v>
      </c>
      <c r="I641" s="379"/>
      <c r="J641" s="379">
        <f t="shared" si="40"/>
        <v>100</v>
      </c>
    </row>
    <row r="642" spans="1:10" ht="24">
      <c r="A642" s="87" t="s">
        <v>868</v>
      </c>
      <c r="B642" s="85" t="s">
        <v>584</v>
      </c>
      <c r="C642" s="85" t="s">
        <v>584</v>
      </c>
      <c r="D642" s="85" t="s">
        <v>1184</v>
      </c>
      <c r="E642" s="85" t="s">
        <v>869</v>
      </c>
      <c r="F642" s="90"/>
      <c r="G642" s="90">
        <f>550-7.4+25.1+21.9</f>
        <v>589.6</v>
      </c>
      <c r="H642" s="90">
        <v>589.6</v>
      </c>
      <c r="I642" s="379"/>
      <c r="J642" s="379">
        <f t="shared" si="40"/>
        <v>100</v>
      </c>
    </row>
    <row r="643" spans="1:10" ht="15">
      <c r="A643" s="87" t="s">
        <v>743</v>
      </c>
      <c r="B643" s="85" t="s">
        <v>584</v>
      </c>
      <c r="C643" s="85" t="s">
        <v>584</v>
      </c>
      <c r="D643" s="85" t="s">
        <v>1184</v>
      </c>
      <c r="E643" s="85" t="s">
        <v>744</v>
      </c>
      <c r="F643" s="243">
        <f>F644+F645</f>
        <v>0</v>
      </c>
      <c r="G643" s="243">
        <f>G644+G645</f>
        <v>2415.1</v>
      </c>
      <c r="H643" s="243">
        <f>H644+H645</f>
        <v>2402.2</v>
      </c>
      <c r="I643" s="379"/>
      <c r="J643" s="379">
        <f t="shared" si="40"/>
        <v>99.46586062688915</v>
      </c>
    </row>
    <row r="644" spans="1:10" ht="15.75" hidden="1">
      <c r="A644" s="87" t="s">
        <v>745</v>
      </c>
      <c r="B644" s="85" t="s">
        <v>584</v>
      </c>
      <c r="C644" s="85" t="s">
        <v>584</v>
      </c>
      <c r="D644" s="85" t="s">
        <v>1184</v>
      </c>
      <c r="E644" s="85" t="s">
        <v>746</v>
      </c>
      <c r="F644" s="243"/>
      <c r="G644" s="243"/>
      <c r="H644" s="243"/>
      <c r="I644" s="379"/>
      <c r="J644" s="379"/>
    </row>
    <row r="645" spans="1:10" ht="15">
      <c r="A645" s="87" t="s">
        <v>1170</v>
      </c>
      <c r="B645" s="85" t="s">
        <v>584</v>
      </c>
      <c r="C645" s="85" t="s">
        <v>584</v>
      </c>
      <c r="D645" s="85" t="s">
        <v>1184</v>
      </c>
      <c r="E645" s="85" t="s">
        <v>1637</v>
      </c>
      <c r="F645" s="243">
        <f>F646</f>
        <v>0</v>
      </c>
      <c r="G645" s="243">
        <f>G646</f>
        <v>2415.1</v>
      </c>
      <c r="H645" s="243">
        <f>H646</f>
        <v>2402.2</v>
      </c>
      <c r="I645" s="379"/>
      <c r="J645" s="379">
        <f t="shared" si="40"/>
        <v>99.46586062688915</v>
      </c>
    </row>
    <row r="646" spans="1:10" ht="25.5" customHeight="1">
      <c r="A646" s="87" t="s">
        <v>1185</v>
      </c>
      <c r="B646" s="85" t="s">
        <v>584</v>
      </c>
      <c r="C646" s="85" t="s">
        <v>584</v>
      </c>
      <c r="D646" s="85" t="s">
        <v>1184</v>
      </c>
      <c r="E646" s="85" t="s">
        <v>1637</v>
      </c>
      <c r="F646" s="90"/>
      <c r="G646" s="90">
        <f>1878+595.8-188.3+129.6</f>
        <v>2415.1</v>
      </c>
      <c r="H646" s="90">
        <v>2402.2</v>
      </c>
      <c r="I646" s="379"/>
      <c r="J646" s="379">
        <f t="shared" si="40"/>
        <v>99.46586062688915</v>
      </c>
    </row>
    <row r="647" spans="1:10" ht="44.25" customHeight="1">
      <c r="A647" s="87" t="s">
        <v>295</v>
      </c>
      <c r="B647" s="85" t="s">
        <v>584</v>
      </c>
      <c r="C647" s="85" t="s">
        <v>584</v>
      </c>
      <c r="D647" s="85" t="s">
        <v>1184</v>
      </c>
      <c r="E647" s="85" t="s">
        <v>296</v>
      </c>
      <c r="F647" s="243">
        <f aca="true" t="shared" si="42" ref="F647:H648">F648</f>
        <v>0</v>
      </c>
      <c r="G647" s="243">
        <f t="shared" si="42"/>
        <v>6919.900000000001</v>
      </c>
      <c r="H647" s="243">
        <f t="shared" si="42"/>
        <v>6919.9</v>
      </c>
      <c r="I647" s="379"/>
      <c r="J647" s="379">
        <f t="shared" si="40"/>
        <v>99.99999999999999</v>
      </c>
    </row>
    <row r="648" spans="1:10" ht="22.5" customHeight="1">
      <c r="A648" s="87" t="s">
        <v>305</v>
      </c>
      <c r="B648" s="85" t="s">
        <v>584</v>
      </c>
      <c r="C648" s="85" t="s">
        <v>584</v>
      </c>
      <c r="D648" s="85" t="s">
        <v>1184</v>
      </c>
      <c r="E648" s="85" t="s">
        <v>801</v>
      </c>
      <c r="F648" s="243">
        <f t="shared" si="42"/>
        <v>0</v>
      </c>
      <c r="G648" s="243">
        <f t="shared" si="42"/>
        <v>6919.900000000001</v>
      </c>
      <c r="H648" s="243">
        <f t="shared" si="42"/>
        <v>6919.9</v>
      </c>
      <c r="I648" s="379"/>
      <c r="J648" s="379">
        <f t="shared" si="40"/>
        <v>99.99999999999999</v>
      </c>
    </row>
    <row r="649" spans="1:10" ht="22.5" customHeight="1">
      <c r="A649" s="87" t="s">
        <v>1186</v>
      </c>
      <c r="B649" s="85" t="s">
        <v>584</v>
      </c>
      <c r="C649" s="85" t="s">
        <v>584</v>
      </c>
      <c r="D649" s="85" t="s">
        <v>1184</v>
      </c>
      <c r="E649" s="85" t="s">
        <v>801</v>
      </c>
      <c r="F649" s="90"/>
      <c r="G649" s="90">
        <f>7504-645.4+49.6+163.2-151.5</f>
        <v>6919.900000000001</v>
      </c>
      <c r="H649" s="90">
        <v>6919.9</v>
      </c>
      <c r="I649" s="379"/>
      <c r="J649" s="379">
        <f t="shared" si="40"/>
        <v>99.99999999999999</v>
      </c>
    </row>
    <row r="650" spans="1:10" ht="22.5" customHeight="1">
      <c r="A650" s="87" t="s">
        <v>1187</v>
      </c>
      <c r="B650" s="85" t="s">
        <v>584</v>
      </c>
      <c r="C650" s="85" t="s">
        <v>584</v>
      </c>
      <c r="D650" s="85" t="s">
        <v>1188</v>
      </c>
      <c r="E650" s="85" t="s">
        <v>1071</v>
      </c>
      <c r="F650" s="243">
        <f aca="true" t="shared" si="43" ref="F650:H652">F651</f>
        <v>0</v>
      </c>
      <c r="G650" s="243">
        <f t="shared" si="43"/>
        <v>2742</v>
      </c>
      <c r="H650" s="243">
        <f t="shared" si="43"/>
        <v>2730.6</v>
      </c>
      <c r="I650" s="379"/>
      <c r="J650" s="379">
        <f t="shared" si="40"/>
        <v>99.58424507658643</v>
      </c>
    </row>
    <row r="651" spans="1:10" ht="28.5" customHeight="1">
      <c r="A651" s="87" t="s">
        <v>743</v>
      </c>
      <c r="B651" s="85" t="s">
        <v>584</v>
      </c>
      <c r="C651" s="85" t="s">
        <v>584</v>
      </c>
      <c r="D651" s="85" t="s">
        <v>1188</v>
      </c>
      <c r="E651" s="85" t="s">
        <v>744</v>
      </c>
      <c r="F651" s="243">
        <f t="shared" si="43"/>
        <v>0</v>
      </c>
      <c r="G651" s="243">
        <f t="shared" si="43"/>
        <v>2742</v>
      </c>
      <c r="H651" s="243">
        <f t="shared" si="43"/>
        <v>2730.6</v>
      </c>
      <c r="I651" s="379"/>
      <c r="J651" s="379">
        <f t="shared" si="40"/>
        <v>99.58424507658643</v>
      </c>
    </row>
    <row r="652" spans="1:10" ht="15">
      <c r="A652" s="87" t="s">
        <v>1640</v>
      </c>
      <c r="B652" s="85" t="s">
        <v>584</v>
      </c>
      <c r="C652" s="85" t="s">
        <v>584</v>
      </c>
      <c r="D652" s="85" t="s">
        <v>1188</v>
      </c>
      <c r="E652" s="85" t="s">
        <v>1637</v>
      </c>
      <c r="F652" s="90"/>
      <c r="G652" s="90">
        <f t="shared" si="43"/>
        <v>2742</v>
      </c>
      <c r="H652" s="105">
        <v>2730.6</v>
      </c>
      <c r="I652" s="379"/>
      <c r="J652" s="379">
        <f t="shared" si="40"/>
        <v>99.58424507658643</v>
      </c>
    </row>
    <row r="653" spans="1:10" ht="24">
      <c r="A653" s="87" t="s">
        <v>1189</v>
      </c>
      <c r="B653" s="85" t="s">
        <v>584</v>
      </c>
      <c r="C653" s="85" t="s">
        <v>584</v>
      </c>
      <c r="D653" s="85" t="s">
        <v>1188</v>
      </c>
      <c r="E653" s="85" t="s">
        <v>1637</v>
      </c>
      <c r="F653" s="90"/>
      <c r="G653" s="90">
        <f>2482+260</f>
        <v>2742</v>
      </c>
      <c r="H653" s="251"/>
      <c r="I653" s="379"/>
      <c r="J653" s="379">
        <f t="shared" si="40"/>
        <v>0</v>
      </c>
    </row>
    <row r="654" spans="1:10" ht="15">
      <c r="A654" s="96" t="s">
        <v>957</v>
      </c>
      <c r="B654" s="85" t="s">
        <v>584</v>
      </c>
      <c r="C654" s="85" t="s">
        <v>1788</v>
      </c>
      <c r="D654" s="85"/>
      <c r="E654" s="85"/>
      <c r="F654" s="243">
        <f>F655+F663+F670+F673+F665+F680+F692+F695</f>
        <v>119069.8</v>
      </c>
      <c r="G654" s="243">
        <f>G655+G663+G670+G673+G665+G680+G692+G695</f>
        <v>116565.7</v>
      </c>
      <c r="H654" s="243">
        <f>H655+H663+H670+H673+H665+H680+H692+H695</f>
        <v>111593.6</v>
      </c>
      <c r="I654" s="379">
        <f>H654/F654*100</f>
        <v>93.72116187311981</v>
      </c>
      <c r="J654" s="379">
        <f aca="true" t="shared" si="44" ref="J654:J714">H654/G654*100</f>
        <v>95.73450852180359</v>
      </c>
    </row>
    <row r="655" spans="1:10" ht="24">
      <c r="A655" s="93" t="s">
        <v>143</v>
      </c>
      <c r="B655" s="85" t="s">
        <v>584</v>
      </c>
      <c r="C655" s="85" t="s">
        <v>1788</v>
      </c>
      <c r="D655" s="85" t="s">
        <v>144</v>
      </c>
      <c r="E655" s="85"/>
      <c r="F655" s="243">
        <f>F656+F660</f>
        <v>31554.8</v>
      </c>
      <c r="G655" s="243">
        <f>G656+G660</f>
        <v>32268.5</v>
      </c>
      <c r="H655" s="243">
        <f>H656+H660</f>
        <v>29220.800000000003</v>
      </c>
      <c r="I655" s="379">
        <f>H655/F655*100</f>
        <v>92.60334402373016</v>
      </c>
      <c r="J655" s="379">
        <f t="shared" si="44"/>
        <v>90.55518539752391</v>
      </c>
    </row>
    <row r="656" spans="1:10" ht="15">
      <c r="A656" s="87" t="s">
        <v>1599</v>
      </c>
      <c r="B656" s="85" t="s">
        <v>584</v>
      </c>
      <c r="C656" s="85" t="s">
        <v>1788</v>
      </c>
      <c r="D656" s="85" t="s">
        <v>1884</v>
      </c>
      <c r="E656" s="85" t="s">
        <v>1071</v>
      </c>
      <c r="F656" s="243">
        <f>F657+F658+F659</f>
        <v>31492.8</v>
      </c>
      <c r="G656" s="243">
        <f>G657+G658+G659</f>
        <v>32206.5</v>
      </c>
      <c r="H656" s="243">
        <f>H657+H658+H659</f>
        <v>29159.300000000003</v>
      </c>
      <c r="I656" s="379">
        <f>H656/F656*100</f>
        <v>92.59036986231774</v>
      </c>
      <c r="J656" s="379">
        <f t="shared" si="44"/>
        <v>90.53855588157671</v>
      </c>
    </row>
    <row r="657" spans="1:10" ht="15">
      <c r="A657" s="348" t="s">
        <v>1832</v>
      </c>
      <c r="B657" s="85" t="s">
        <v>584</v>
      </c>
      <c r="C657" s="85" t="s">
        <v>1788</v>
      </c>
      <c r="D657" s="85" t="s">
        <v>1884</v>
      </c>
      <c r="E657" s="85" t="s">
        <v>1833</v>
      </c>
      <c r="F657" s="90"/>
      <c r="G657" s="90">
        <v>28000.5</v>
      </c>
      <c r="H657" s="90">
        <v>25254.4</v>
      </c>
      <c r="I657" s="379"/>
      <c r="J657" s="379">
        <f t="shared" si="44"/>
        <v>90.19267513080123</v>
      </c>
    </row>
    <row r="658" spans="1:10" ht="15">
      <c r="A658" s="87" t="s">
        <v>1729</v>
      </c>
      <c r="B658" s="85" t="s">
        <v>584</v>
      </c>
      <c r="C658" s="85" t="s">
        <v>1788</v>
      </c>
      <c r="D658" s="85" t="s">
        <v>1884</v>
      </c>
      <c r="E658" s="85" t="s">
        <v>1837</v>
      </c>
      <c r="F658" s="90"/>
      <c r="G658" s="90">
        <v>4206</v>
      </c>
      <c r="H658" s="90">
        <v>3904.9</v>
      </c>
      <c r="I658" s="379"/>
      <c r="J658" s="379">
        <f t="shared" si="44"/>
        <v>92.84117926771279</v>
      </c>
    </row>
    <row r="659" spans="1:10" ht="15">
      <c r="A659" s="376" t="s">
        <v>171</v>
      </c>
      <c r="B659" s="85" t="s">
        <v>584</v>
      </c>
      <c r="C659" s="85" t="s">
        <v>1788</v>
      </c>
      <c r="D659" s="85" t="s">
        <v>1884</v>
      </c>
      <c r="E659" s="85" t="s">
        <v>436</v>
      </c>
      <c r="F659" s="90">
        <v>31492.8</v>
      </c>
      <c r="G659" s="90"/>
      <c r="H659" s="243"/>
      <c r="I659" s="379">
        <f>H659/F659*100</f>
        <v>0</v>
      </c>
      <c r="J659" s="379"/>
    </row>
    <row r="660" spans="1:10" ht="15">
      <c r="A660" s="349" t="s">
        <v>1840</v>
      </c>
      <c r="B660" s="85" t="s">
        <v>584</v>
      </c>
      <c r="C660" s="85" t="s">
        <v>1788</v>
      </c>
      <c r="D660" s="85" t="s">
        <v>1841</v>
      </c>
      <c r="E660" s="85" t="s">
        <v>1071</v>
      </c>
      <c r="F660" s="243">
        <f>F661+F662</f>
        <v>62</v>
      </c>
      <c r="G660" s="243">
        <f>G661+G662</f>
        <v>62</v>
      </c>
      <c r="H660" s="243">
        <f>H661+H662</f>
        <v>61.5</v>
      </c>
      <c r="I660" s="379">
        <f>H660/F660*100</f>
        <v>99.19354838709677</v>
      </c>
      <c r="J660" s="379">
        <f t="shared" si="44"/>
        <v>99.19354838709677</v>
      </c>
    </row>
    <row r="661" spans="1:10" ht="15">
      <c r="A661" s="376" t="s">
        <v>171</v>
      </c>
      <c r="B661" s="85" t="s">
        <v>584</v>
      </c>
      <c r="C661" s="85" t="s">
        <v>1788</v>
      </c>
      <c r="D661" s="85" t="s">
        <v>1841</v>
      </c>
      <c r="E661" s="85" t="s">
        <v>436</v>
      </c>
      <c r="F661" s="90">
        <v>62</v>
      </c>
      <c r="G661" s="243"/>
      <c r="H661" s="90"/>
      <c r="I661" s="379">
        <f>H661/F661*100</f>
        <v>0</v>
      </c>
      <c r="J661" s="379"/>
    </row>
    <row r="662" spans="1:10" ht="15">
      <c r="A662" s="349" t="s">
        <v>1840</v>
      </c>
      <c r="B662" s="85" t="s">
        <v>584</v>
      </c>
      <c r="C662" s="85" t="s">
        <v>1788</v>
      </c>
      <c r="D662" s="85" t="s">
        <v>1841</v>
      </c>
      <c r="E662" s="85" t="s">
        <v>1842</v>
      </c>
      <c r="F662" s="90"/>
      <c r="G662" s="90">
        <v>62</v>
      </c>
      <c r="H662" s="90">
        <v>61.5</v>
      </c>
      <c r="I662" s="379"/>
      <c r="J662" s="379">
        <f t="shared" si="44"/>
        <v>99.19354838709677</v>
      </c>
    </row>
    <row r="663" spans="1:10" ht="15.75" hidden="1">
      <c r="A663" s="93" t="s">
        <v>1359</v>
      </c>
      <c r="B663" s="85" t="s">
        <v>584</v>
      </c>
      <c r="C663" s="85" t="s">
        <v>1788</v>
      </c>
      <c r="D663" s="85" t="s">
        <v>936</v>
      </c>
      <c r="E663" s="85"/>
      <c r="F663" s="243">
        <f>F664</f>
        <v>0</v>
      </c>
      <c r="G663" s="243">
        <f>G664</f>
        <v>0</v>
      </c>
      <c r="H663" s="243"/>
      <c r="I663" s="379"/>
      <c r="J663" s="379"/>
    </row>
    <row r="664" spans="1:10" ht="15.75" hidden="1">
      <c r="A664" s="87" t="s">
        <v>1360</v>
      </c>
      <c r="B664" s="85" t="s">
        <v>584</v>
      </c>
      <c r="C664" s="85" t="s">
        <v>1788</v>
      </c>
      <c r="D664" s="85" t="s">
        <v>936</v>
      </c>
      <c r="E664" s="85" t="s">
        <v>1361</v>
      </c>
      <c r="F664" s="90"/>
      <c r="G664" s="90"/>
      <c r="H664" s="90"/>
      <c r="I664" s="379"/>
      <c r="J664" s="379"/>
    </row>
    <row r="665" spans="1:10" ht="15">
      <c r="A665" s="93" t="s">
        <v>1396</v>
      </c>
      <c r="B665" s="85" t="s">
        <v>584</v>
      </c>
      <c r="C665" s="85" t="s">
        <v>1788</v>
      </c>
      <c r="D665" s="85" t="s">
        <v>1397</v>
      </c>
      <c r="E665" s="85"/>
      <c r="F665" s="243">
        <f>F666+F668</f>
        <v>0</v>
      </c>
      <c r="G665" s="243">
        <f>G666+G668</f>
        <v>10949</v>
      </c>
      <c r="H665" s="243">
        <f>H666+H668</f>
        <v>9833</v>
      </c>
      <c r="I665" s="379"/>
      <c r="J665" s="379">
        <f t="shared" si="44"/>
        <v>89.80728833683442</v>
      </c>
    </row>
    <row r="666" spans="1:10" ht="36">
      <c r="A666" s="87" t="s">
        <v>1190</v>
      </c>
      <c r="B666" s="85" t="s">
        <v>584</v>
      </c>
      <c r="C666" s="85" t="s">
        <v>1788</v>
      </c>
      <c r="D666" s="85" t="s">
        <v>871</v>
      </c>
      <c r="E666" s="85" t="s">
        <v>1071</v>
      </c>
      <c r="F666" s="243">
        <f>F667</f>
        <v>0</v>
      </c>
      <c r="G666" s="243">
        <f>G667</f>
        <v>468</v>
      </c>
      <c r="H666" s="243">
        <f>H667</f>
        <v>468</v>
      </c>
      <c r="I666" s="379"/>
      <c r="J666" s="379">
        <f t="shared" si="44"/>
        <v>100</v>
      </c>
    </row>
    <row r="667" spans="1:10" ht="24">
      <c r="A667" s="87" t="s">
        <v>1191</v>
      </c>
      <c r="B667" s="85" t="s">
        <v>584</v>
      </c>
      <c r="C667" s="85" t="s">
        <v>1788</v>
      </c>
      <c r="D667" s="85" t="s">
        <v>871</v>
      </c>
      <c r="E667" s="85" t="s">
        <v>1192</v>
      </c>
      <c r="F667" s="90"/>
      <c r="G667" s="90">
        <f>314+154</f>
        <v>468</v>
      </c>
      <c r="H667" s="84">
        <v>468</v>
      </c>
      <c r="I667" s="379"/>
      <c r="J667" s="379">
        <f t="shared" si="44"/>
        <v>100</v>
      </c>
    </row>
    <row r="668" spans="1:10" ht="72">
      <c r="A668" s="87" t="s">
        <v>1193</v>
      </c>
      <c r="B668" s="85" t="s">
        <v>584</v>
      </c>
      <c r="C668" s="85" t="s">
        <v>1788</v>
      </c>
      <c r="D668" s="85" t="s">
        <v>1194</v>
      </c>
      <c r="E668" s="85" t="s">
        <v>1071</v>
      </c>
      <c r="F668" s="243">
        <f>F669</f>
        <v>0</v>
      </c>
      <c r="G668" s="243">
        <f>G669</f>
        <v>10481</v>
      </c>
      <c r="H668" s="243">
        <f>H669</f>
        <v>9365</v>
      </c>
      <c r="I668" s="379"/>
      <c r="J668" s="379">
        <f t="shared" si="44"/>
        <v>89.3521610533346</v>
      </c>
    </row>
    <row r="669" spans="1:10" ht="24">
      <c r="A669" s="87" t="s">
        <v>1191</v>
      </c>
      <c r="B669" s="85" t="s">
        <v>584</v>
      </c>
      <c r="C669" s="85" t="s">
        <v>1788</v>
      </c>
      <c r="D669" s="85" t="s">
        <v>1194</v>
      </c>
      <c r="E669" s="85" t="s">
        <v>1192</v>
      </c>
      <c r="F669" s="90"/>
      <c r="G669" s="90">
        <v>10481</v>
      </c>
      <c r="H669" s="90">
        <v>9365</v>
      </c>
      <c r="I669" s="379"/>
      <c r="J669" s="379">
        <f t="shared" si="44"/>
        <v>89.3521610533346</v>
      </c>
    </row>
    <row r="670" spans="1:10" ht="24" hidden="1">
      <c r="A670" s="86" t="s">
        <v>1195</v>
      </c>
      <c r="B670" s="85" t="s">
        <v>584</v>
      </c>
      <c r="C670" s="85" t="s">
        <v>1788</v>
      </c>
      <c r="D670" s="85" t="s">
        <v>1196</v>
      </c>
      <c r="E670" s="85"/>
      <c r="F670" s="243">
        <f>F671+F672</f>
        <v>0</v>
      </c>
      <c r="G670" s="243">
        <f>G671+G672</f>
        <v>0</v>
      </c>
      <c r="H670" s="243"/>
      <c r="I670" s="379"/>
      <c r="J670" s="379"/>
    </row>
    <row r="671" spans="1:10" ht="15.75" hidden="1">
      <c r="A671" s="87" t="s">
        <v>1165</v>
      </c>
      <c r="B671" s="85" t="s">
        <v>584</v>
      </c>
      <c r="C671" s="85" t="s">
        <v>1788</v>
      </c>
      <c r="D671" s="85" t="s">
        <v>1196</v>
      </c>
      <c r="E671" s="85" t="s">
        <v>90</v>
      </c>
      <c r="F671" s="90">
        <f>418-418</f>
        <v>0</v>
      </c>
      <c r="G671" s="90">
        <f>418-418</f>
        <v>0</v>
      </c>
      <c r="H671" s="90"/>
      <c r="I671" s="379"/>
      <c r="J671" s="379"/>
    </row>
    <row r="672" spans="1:10" ht="24" hidden="1">
      <c r="A672" s="87" t="s">
        <v>868</v>
      </c>
      <c r="B672" s="85" t="s">
        <v>584</v>
      </c>
      <c r="C672" s="85" t="s">
        <v>1788</v>
      </c>
      <c r="D672" s="85" t="s">
        <v>1196</v>
      </c>
      <c r="E672" s="85" t="s">
        <v>869</v>
      </c>
      <c r="F672" s="90">
        <f>7931-7931</f>
        <v>0</v>
      </c>
      <c r="G672" s="90">
        <f>7931-7931</f>
        <v>0</v>
      </c>
      <c r="H672" s="243"/>
      <c r="I672" s="379"/>
      <c r="J672" s="379"/>
    </row>
    <row r="673" spans="1:10" ht="15">
      <c r="A673" s="93" t="s">
        <v>1362</v>
      </c>
      <c r="B673" s="85" t="s">
        <v>584</v>
      </c>
      <c r="C673" s="85" t="s">
        <v>1788</v>
      </c>
      <c r="D673" s="85" t="s">
        <v>1363</v>
      </c>
      <c r="E673" s="85"/>
      <c r="F673" s="243">
        <f>F674+F677</f>
        <v>16790</v>
      </c>
      <c r="G673" s="243">
        <f>G674+G677</f>
        <v>490</v>
      </c>
      <c r="H673" s="243">
        <f>H674+H677</f>
        <v>452</v>
      </c>
      <c r="I673" s="379">
        <f>H673/F673*100</f>
        <v>2.692078618225134</v>
      </c>
      <c r="J673" s="379">
        <f t="shared" si="44"/>
        <v>92.24489795918367</v>
      </c>
    </row>
    <row r="674" spans="1:10" ht="15">
      <c r="A674" s="93" t="s">
        <v>1364</v>
      </c>
      <c r="B674" s="85" t="s">
        <v>584</v>
      </c>
      <c r="C674" s="85" t="s">
        <v>1788</v>
      </c>
      <c r="D674" s="85" t="s">
        <v>1365</v>
      </c>
      <c r="E674" s="85"/>
      <c r="F674" s="243">
        <f>F675+F676</f>
        <v>16790</v>
      </c>
      <c r="G674" s="243">
        <f>G675+G676</f>
        <v>0</v>
      </c>
      <c r="H674" s="243"/>
      <c r="I674" s="379">
        <f>H674/F674*100</f>
        <v>0</v>
      </c>
      <c r="J674" s="379"/>
    </row>
    <row r="675" spans="1:10" ht="15.75" hidden="1">
      <c r="A675" s="87" t="s">
        <v>1758</v>
      </c>
      <c r="B675" s="85" t="s">
        <v>584</v>
      </c>
      <c r="C675" s="85" t="s">
        <v>1788</v>
      </c>
      <c r="D675" s="85" t="s">
        <v>1365</v>
      </c>
      <c r="E675" s="85" t="s">
        <v>1878</v>
      </c>
      <c r="F675" s="90"/>
      <c r="G675" s="90"/>
      <c r="H675" s="90"/>
      <c r="I675" s="379"/>
      <c r="J675" s="379"/>
    </row>
    <row r="676" spans="1:10" ht="15.75">
      <c r="A676" s="87" t="s">
        <v>925</v>
      </c>
      <c r="B676" s="85" t="s">
        <v>584</v>
      </c>
      <c r="C676" s="85" t="s">
        <v>1788</v>
      </c>
      <c r="D676" s="85" t="s">
        <v>1365</v>
      </c>
      <c r="E676" s="85" t="s">
        <v>926</v>
      </c>
      <c r="F676" s="90">
        <v>16790</v>
      </c>
      <c r="G676" s="90">
        <f>154-154</f>
        <v>0</v>
      </c>
      <c r="H676" s="244"/>
      <c r="I676" s="379">
        <f>H676/F676*100</f>
        <v>0</v>
      </c>
      <c r="J676" s="379"/>
    </row>
    <row r="677" spans="1:10" ht="24">
      <c r="A677" s="92" t="s">
        <v>1197</v>
      </c>
      <c r="B677" s="85" t="s">
        <v>584</v>
      </c>
      <c r="C677" s="85" t="s">
        <v>1788</v>
      </c>
      <c r="D677" s="85" t="s">
        <v>1198</v>
      </c>
      <c r="E677" s="85" t="s">
        <v>1071</v>
      </c>
      <c r="F677" s="243">
        <f>F678+F679</f>
        <v>0</v>
      </c>
      <c r="G677" s="243">
        <f>G678+G679</f>
        <v>490</v>
      </c>
      <c r="H677" s="243">
        <f>H678+H679</f>
        <v>452</v>
      </c>
      <c r="I677" s="379"/>
      <c r="J677" s="379">
        <f t="shared" si="44"/>
        <v>92.24489795918367</v>
      </c>
    </row>
    <row r="678" spans="1:10" ht="15">
      <c r="A678" s="87" t="s">
        <v>743</v>
      </c>
      <c r="B678" s="85" t="s">
        <v>584</v>
      </c>
      <c r="C678" s="85" t="s">
        <v>1788</v>
      </c>
      <c r="D678" s="85" t="s">
        <v>1198</v>
      </c>
      <c r="E678" s="85" t="s">
        <v>744</v>
      </c>
      <c r="F678" s="90"/>
      <c r="G678" s="90">
        <v>105</v>
      </c>
      <c r="H678" s="90">
        <v>81.2</v>
      </c>
      <c r="I678" s="379"/>
      <c r="J678" s="379">
        <f t="shared" si="44"/>
        <v>77.33333333333333</v>
      </c>
    </row>
    <row r="679" spans="1:10" ht="15">
      <c r="A679" s="87" t="s">
        <v>295</v>
      </c>
      <c r="B679" s="85" t="s">
        <v>584</v>
      </c>
      <c r="C679" s="85" t="s">
        <v>1788</v>
      </c>
      <c r="D679" s="85" t="s">
        <v>1198</v>
      </c>
      <c r="E679" s="85" t="s">
        <v>296</v>
      </c>
      <c r="F679" s="90"/>
      <c r="G679" s="90">
        <v>385</v>
      </c>
      <c r="H679" s="90">
        <v>370.8</v>
      </c>
      <c r="I679" s="379"/>
      <c r="J679" s="379">
        <f t="shared" si="44"/>
        <v>96.31168831168831</v>
      </c>
    </row>
    <row r="680" spans="1:10" ht="36">
      <c r="A680" s="94" t="s">
        <v>1366</v>
      </c>
      <c r="B680" s="85" t="s">
        <v>584</v>
      </c>
      <c r="C680" s="85" t="s">
        <v>1788</v>
      </c>
      <c r="D680" s="85" t="s">
        <v>1367</v>
      </c>
      <c r="E680" s="85"/>
      <c r="F680" s="243">
        <f>F681+F683+F685</f>
        <v>63863</v>
      </c>
      <c r="G680" s="243">
        <f>G681+G683+G685</f>
        <v>54724.7</v>
      </c>
      <c r="H680" s="243">
        <f>H681+H683+H685</f>
        <v>54704</v>
      </c>
      <c r="I680" s="379">
        <f>H680/F680*100</f>
        <v>85.65836243208118</v>
      </c>
      <c r="J680" s="379">
        <f t="shared" si="44"/>
        <v>99.9621743015494</v>
      </c>
    </row>
    <row r="681" spans="1:10" ht="48">
      <c r="A681" s="108" t="s">
        <v>1582</v>
      </c>
      <c r="B681" s="85" t="s">
        <v>584</v>
      </c>
      <c r="C681" s="85" t="s">
        <v>1788</v>
      </c>
      <c r="D681" s="85" t="s">
        <v>1583</v>
      </c>
      <c r="E681" s="85" t="s">
        <v>1071</v>
      </c>
      <c r="F681" s="250">
        <f>F682</f>
        <v>0</v>
      </c>
      <c r="G681" s="250">
        <f>G682</f>
        <v>1082</v>
      </c>
      <c r="H681" s="250">
        <f>H682</f>
        <v>1076.1</v>
      </c>
      <c r="I681" s="379"/>
      <c r="J681" s="379">
        <f t="shared" si="44"/>
        <v>99.45471349353049</v>
      </c>
    </row>
    <row r="682" spans="1:10" ht="15">
      <c r="A682" s="87" t="s">
        <v>743</v>
      </c>
      <c r="B682" s="85" t="s">
        <v>584</v>
      </c>
      <c r="C682" s="85" t="s">
        <v>1788</v>
      </c>
      <c r="D682" s="85" t="s">
        <v>1583</v>
      </c>
      <c r="E682" s="85" t="s">
        <v>744</v>
      </c>
      <c r="F682" s="249"/>
      <c r="G682" s="249">
        <f>932+150</f>
        <v>1082</v>
      </c>
      <c r="H682" s="90">
        <v>1076.1</v>
      </c>
      <c r="I682" s="379"/>
      <c r="J682" s="379">
        <f t="shared" si="44"/>
        <v>99.45471349353049</v>
      </c>
    </row>
    <row r="683" spans="1:10" ht="96">
      <c r="A683" s="92" t="s">
        <v>1584</v>
      </c>
      <c r="B683" s="85" t="s">
        <v>584</v>
      </c>
      <c r="C683" s="85" t="s">
        <v>1788</v>
      </c>
      <c r="D683" s="85" t="s">
        <v>1585</v>
      </c>
      <c r="E683" s="85" t="s">
        <v>1071</v>
      </c>
      <c r="F683" s="250">
        <f>F684</f>
        <v>0</v>
      </c>
      <c r="G683" s="250">
        <f>G684</f>
        <v>1941.7</v>
      </c>
      <c r="H683" s="250">
        <f>H684</f>
        <v>1933.2</v>
      </c>
      <c r="I683" s="379"/>
      <c r="J683" s="379">
        <f t="shared" si="44"/>
        <v>99.56223927486224</v>
      </c>
    </row>
    <row r="684" spans="1:10" ht="15">
      <c r="A684" s="87" t="s">
        <v>295</v>
      </c>
      <c r="B684" s="85" t="s">
        <v>584</v>
      </c>
      <c r="C684" s="85" t="s">
        <v>1788</v>
      </c>
      <c r="D684" s="85" t="s">
        <v>1585</v>
      </c>
      <c r="E684" s="85" t="s">
        <v>296</v>
      </c>
      <c r="F684" s="249"/>
      <c r="G684" s="249">
        <f>1785.7+156</f>
        <v>1941.7</v>
      </c>
      <c r="H684" s="248">
        <v>1933.2</v>
      </c>
      <c r="I684" s="379"/>
      <c r="J684" s="379">
        <f t="shared" si="44"/>
        <v>99.56223927486224</v>
      </c>
    </row>
    <row r="685" spans="1:10" ht="15">
      <c r="A685" s="87" t="s">
        <v>661</v>
      </c>
      <c r="B685" s="85" t="s">
        <v>584</v>
      </c>
      <c r="C685" s="85" t="s">
        <v>1788</v>
      </c>
      <c r="D685" s="85" t="s">
        <v>1416</v>
      </c>
      <c r="E685" s="85" t="s">
        <v>1071</v>
      </c>
      <c r="F685" s="243">
        <f>F686+F688</f>
        <v>63863</v>
      </c>
      <c r="G685" s="243">
        <f>G686+G688</f>
        <v>51701</v>
      </c>
      <c r="H685" s="243">
        <f>H686+H688</f>
        <v>51694.7</v>
      </c>
      <c r="I685" s="379">
        <f aca="true" t="shared" si="45" ref="I685:I691">H685/F685*100</f>
        <v>80.94624430421369</v>
      </c>
      <c r="J685" s="379">
        <f t="shared" si="44"/>
        <v>99.9878145490416</v>
      </c>
    </row>
    <row r="686" spans="1:11" ht="15">
      <c r="A686" s="87" t="s">
        <v>743</v>
      </c>
      <c r="B686" s="85" t="s">
        <v>584</v>
      </c>
      <c r="C686" s="85" t="s">
        <v>1788</v>
      </c>
      <c r="D686" s="85" t="s">
        <v>1416</v>
      </c>
      <c r="E686" s="85" t="s">
        <v>744</v>
      </c>
      <c r="F686" s="243">
        <f>F687+F690</f>
        <v>52625</v>
      </c>
      <c r="G686" s="243">
        <f>G687+G690</f>
        <v>45225</v>
      </c>
      <c r="H686" s="243">
        <f>H687+H690</f>
        <v>45223</v>
      </c>
      <c r="I686" s="379">
        <f t="shared" si="45"/>
        <v>85.93444180522566</v>
      </c>
      <c r="J686" s="379">
        <f t="shared" si="44"/>
        <v>99.99557766721946</v>
      </c>
      <c r="K686" s="254"/>
    </row>
    <row r="687" spans="1:11" ht="24">
      <c r="A687" s="87" t="s">
        <v>745</v>
      </c>
      <c r="B687" s="85" t="s">
        <v>584</v>
      </c>
      <c r="C687" s="85" t="s">
        <v>1788</v>
      </c>
      <c r="D687" s="85" t="s">
        <v>1416</v>
      </c>
      <c r="E687" s="85" t="s">
        <v>746</v>
      </c>
      <c r="F687" s="90">
        <v>52125</v>
      </c>
      <c r="G687" s="90">
        <v>45225</v>
      </c>
      <c r="H687" s="201">
        <v>45223</v>
      </c>
      <c r="I687" s="379">
        <f t="shared" si="45"/>
        <v>86.75875299760192</v>
      </c>
      <c r="J687" s="379">
        <f t="shared" si="44"/>
        <v>99.99557766721946</v>
      </c>
      <c r="K687" s="254"/>
    </row>
    <row r="688" spans="1:11" ht="15">
      <c r="A688" s="87" t="s">
        <v>295</v>
      </c>
      <c r="B688" s="85" t="s">
        <v>584</v>
      </c>
      <c r="C688" s="85" t="s">
        <v>1788</v>
      </c>
      <c r="D688" s="85" t="s">
        <v>1416</v>
      </c>
      <c r="E688" s="85" t="s">
        <v>296</v>
      </c>
      <c r="F688" s="243">
        <f>F689</f>
        <v>11238</v>
      </c>
      <c r="G688" s="243">
        <f>G689</f>
        <v>6476</v>
      </c>
      <c r="H688" s="243">
        <f>H689</f>
        <v>6471.7</v>
      </c>
      <c r="I688" s="379">
        <f t="shared" si="45"/>
        <v>57.58764904787329</v>
      </c>
      <c r="J688" s="379">
        <f t="shared" si="44"/>
        <v>99.93360098826436</v>
      </c>
      <c r="K688" s="254"/>
    </row>
    <row r="689" spans="1:11" ht="24">
      <c r="A689" s="87" t="s">
        <v>303</v>
      </c>
      <c r="B689" s="85" t="s">
        <v>584</v>
      </c>
      <c r="C689" s="85" t="s">
        <v>1788</v>
      </c>
      <c r="D689" s="85" t="s">
        <v>1416</v>
      </c>
      <c r="E689" s="85" t="s">
        <v>304</v>
      </c>
      <c r="F689" s="90">
        <v>11238</v>
      </c>
      <c r="G689" s="90">
        <v>6476</v>
      </c>
      <c r="H689" s="254">
        <v>6471.7</v>
      </c>
      <c r="I689" s="379">
        <f t="shared" si="45"/>
        <v>57.58764904787329</v>
      </c>
      <c r="J689" s="379">
        <f t="shared" si="44"/>
        <v>99.93360098826436</v>
      </c>
      <c r="K689" s="254"/>
    </row>
    <row r="690" spans="1:11" ht="15">
      <c r="A690" s="87" t="s">
        <v>1701</v>
      </c>
      <c r="B690" s="85" t="s">
        <v>584</v>
      </c>
      <c r="C690" s="85" t="s">
        <v>1788</v>
      </c>
      <c r="D690" s="85" t="s">
        <v>1416</v>
      </c>
      <c r="E690" s="85" t="s">
        <v>1637</v>
      </c>
      <c r="F690" s="243">
        <f>F691</f>
        <v>500</v>
      </c>
      <c r="G690" s="243">
        <f>G691</f>
        <v>0</v>
      </c>
      <c r="H690" s="254"/>
      <c r="I690" s="379">
        <f t="shared" si="45"/>
        <v>0</v>
      </c>
      <c r="J690" s="379"/>
      <c r="K690" s="254"/>
    </row>
    <row r="691" spans="1:11" ht="15">
      <c r="A691" s="87" t="s">
        <v>1586</v>
      </c>
      <c r="B691" s="85" t="s">
        <v>584</v>
      </c>
      <c r="C691" s="85" t="s">
        <v>1788</v>
      </c>
      <c r="D691" s="85" t="s">
        <v>1587</v>
      </c>
      <c r="E691" s="85" t="s">
        <v>1637</v>
      </c>
      <c r="F691" s="90">
        <v>500</v>
      </c>
      <c r="G691" s="90">
        <v>0</v>
      </c>
      <c r="H691" s="254"/>
      <c r="I691" s="379">
        <f t="shared" si="45"/>
        <v>0</v>
      </c>
      <c r="J691" s="379"/>
      <c r="K691" s="254"/>
    </row>
    <row r="692" spans="1:11" ht="15.75" hidden="1">
      <c r="A692" s="86" t="s">
        <v>854</v>
      </c>
      <c r="B692" s="85" t="s">
        <v>584</v>
      </c>
      <c r="C692" s="85" t="s">
        <v>1788</v>
      </c>
      <c r="D692" s="85" t="s">
        <v>855</v>
      </c>
      <c r="E692" s="85"/>
      <c r="F692" s="243">
        <f>F693</f>
        <v>0</v>
      </c>
      <c r="G692" s="243">
        <f>G693</f>
        <v>0</v>
      </c>
      <c r="H692" s="254"/>
      <c r="I692" s="379"/>
      <c r="J692" s="379"/>
      <c r="K692" s="254"/>
    </row>
    <row r="693" spans="1:11" ht="24" hidden="1">
      <c r="A693" s="87" t="s">
        <v>1368</v>
      </c>
      <c r="B693" s="85" t="s">
        <v>584</v>
      </c>
      <c r="C693" s="85" t="s">
        <v>1788</v>
      </c>
      <c r="D693" s="85" t="s">
        <v>855</v>
      </c>
      <c r="E693" s="85" t="s">
        <v>1071</v>
      </c>
      <c r="F693" s="243">
        <f>F694</f>
        <v>0</v>
      </c>
      <c r="G693" s="243">
        <f>G694</f>
        <v>0</v>
      </c>
      <c r="H693" s="254"/>
      <c r="I693" s="379"/>
      <c r="J693" s="379"/>
      <c r="K693" s="254"/>
    </row>
    <row r="694" spans="1:11" ht="15.75" hidden="1">
      <c r="A694" s="87" t="s">
        <v>1369</v>
      </c>
      <c r="B694" s="85" t="s">
        <v>584</v>
      </c>
      <c r="C694" s="85" t="s">
        <v>1788</v>
      </c>
      <c r="D694" s="85" t="s">
        <v>855</v>
      </c>
      <c r="E694" s="85" t="s">
        <v>1370</v>
      </c>
      <c r="F694" s="90"/>
      <c r="G694" s="90"/>
      <c r="H694" s="254"/>
      <c r="I694" s="379"/>
      <c r="J694" s="379"/>
      <c r="K694" s="254"/>
    </row>
    <row r="695" spans="1:11" ht="15">
      <c r="A695" s="86" t="s">
        <v>909</v>
      </c>
      <c r="B695" s="85" t="s">
        <v>584</v>
      </c>
      <c r="C695" s="85" t="s">
        <v>1788</v>
      </c>
      <c r="D695" s="85" t="s">
        <v>910</v>
      </c>
      <c r="E695" s="85"/>
      <c r="F695" s="243">
        <f>F696+F707</f>
        <v>6862</v>
      </c>
      <c r="G695" s="243">
        <f>G696+G707</f>
        <v>18133.5</v>
      </c>
      <c r="H695" s="243">
        <f>H696+H707</f>
        <v>17383.800000000003</v>
      </c>
      <c r="I695" s="421" t="s">
        <v>1212</v>
      </c>
      <c r="J695" s="379">
        <f t="shared" si="44"/>
        <v>95.86566299942098</v>
      </c>
      <c r="K695" s="254"/>
    </row>
    <row r="696" spans="1:11" ht="24">
      <c r="A696" s="111" t="s">
        <v>1588</v>
      </c>
      <c r="B696" s="83" t="s">
        <v>584</v>
      </c>
      <c r="C696" s="83" t="s">
        <v>1788</v>
      </c>
      <c r="D696" s="83" t="s">
        <v>1700</v>
      </c>
      <c r="E696" s="83" t="s">
        <v>1071</v>
      </c>
      <c r="F696" s="243">
        <f>F697+F698+F700</f>
        <v>6762</v>
      </c>
      <c r="G696" s="243">
        <f>G697+G698+G700</f>
        <v>18033.5</v>
      </c>
      <c r="H696" s="243">
        <f>H697+H698+H700</f>
        <v>17283.800000000003</v>
      </c>
      <c r="I696" s="421" t="s">
        <v>1212</v>
      </c>
      <c r="J696" s="379">
        <f t="shared" si="44"/>
        <v>95.84273712812268</v>
      </c>
      <c r="K696" s="254"/>
    </row>
    <row r="697" spans="1:11" ht="15">
      <c r="A697" s="87" t="s">
        <v>1165</v>
      </c>
      <c r="B697" s="83" t="s">
        <v>584</v>
      </c>
      <c r="C697" s="83" t="s">
        <v>1788</v>
      </c>
      <c r="D697" s="83" t="s">
        <v>1700</v>
      </c>
      <c r="E697" s="83" t="s">
        <v>90</v>
      </c>
      <c r="F697" s="90"/>
      <c r="G697" s="90">
        <v>8262</v>
      </c>
      <c r="H697" s="254">
        <v>7780.1</v>
      </c>
      <c r="I697" s="379"/>
      <c r="J697" s="379">
        <f t="shared" si="44"/>
        <v>94.16727184701041</v>
      </c>
      <c r="K697" s="254"/>
    </row>
    <row r="698" spans="1:11" ht="15">
      <c r="A698" s="87" t="s">
        <v>1822</v>
      </c>
      <c r="B698" s="83" t="s">
        <v>584</v>
      </c>
      <c r="C698" s="83" t="s">
        <v>1788</v>
      </c>
      <c r="D698" s="83" t="s">
        <v>1700</v>
      </c>
      <c r="E698" s="83" t="s">
        <v>1637</v>
      </c>
      <c r="F698" s="243">
        <f>F699</f>
        <v>6762</v>
      </c>
      <c r="G698" s="90"/>
      <c r="H698" s="254"/>
      <c r="I698" s="379">
        <f>H698/F698*100</f>
        <v>0</v>
      </c>
      <c r="J698" s="379"/>
      <c r="K698" s="254"/>
    </row>
    <row r="699" spans="1:11" ht="15">
      <c r="A699" s="87" t="s">
        <v>1823</v>
      </c>
      <c r="B699" s="83" t="s">
        <v>584</v>
      </c>
      <c r="C699" s="83" t="s">
        <v>1788</v>
      </c>
      <c r="D699" s="83" t="s">
        <v>1700</v>
      </c>
      <c r="E699" s="83" t="s">
        <v>1637</v>
      </c>
      <c r="F699" s="90">
        <v>6762</v>
      </c>
      <c r="G699" s="90"/>
      <c r="H699" s="254"/>
      <c r="I699" s="379">
        <f>H699/F699*100</f>
        <v>0</v>
      </c>
      <c r="J699" s="379"/>
      <c r="K699" s="254"/>
    </row>
    <row r="700" spans="1:11" ht="34.5" customHeight="1">
      <c r="A700" s="87" t="s">
        <v>200</v>
      </c>
      <c r="B700" s="83" t="s">
        <v>584</v>
      </c>
      <c r="C700" s="83" t="s">
        <v>1788</v>
      </c>
      <c r="D700" s="83" t="s">
        <v>201</v>
      </c>
      <c r="E700" s="83" t="s">
        <v>1071</v>
      </c>
      <c r="F700" s="243">
        <f>F701+F705</f>
        <v>0</v>
      </c>
      <c r="G700" s="243">
        <f>G701+G705</f>
        <v>9771.5</v>
      </c>
      <c r="H700" s="243">
        <f>H701+H705</f>
        <v>9503.7</v>
      </c>
      <c r="I700" s="379"/>
      <c r="J700" s="379">
        <f t="shared" si="44"/>
        <v>97.25937675894183</v>
      </c>
      <c r="K700" s="254"/>
    </row>
    <row r="701" spans="1:11" ht="15">
      <c r="A701" s="87" t="s">
        <v>743</v>
      </c>
      <c r="B701" s="83" t="s">
        <v>584</v>
      </c>
      <c r="C701" s="83" t="s">
        <v>1788</v>
      </c>
      <c r="D701" s="83" t="s">
        <v>201</v>
      </c>
      <c r="E701" s="83" t="s">
        <v>744</v>
      </c>
      <c r="F701" s="243">
        <f>F702+F703</f>
        <v>0</v>
      </c>
      <c r="G701" s="243">
        <f>G702+G703</f>
        <v>7379</v>
      </c>
      <c r="H701" s="243">
        <f>H702+H703</f>
        <v>7181.4</v>
      </c>
      <c r="I701" s="379"/>
      <c r="J701" s="379">
        <f t="shared" si="44"/>
        <v>97.32213036996883</v>
      </c>
      <c r="K701" s="254"/>
    </row>
    <row r="702" spans="1:11" ht="24">
      <c r="A702" s="87" t="s">
        <v>745</v>
      </c>
      <c r="B702" s="83" t="s">
        <v>584</v>
      </c>
      <c r="C702" s="83" t="s">
        <v>1788</v>
      </c>
      <c r="D702" s="83" t="s">
        <v>201</v>
      </c>
      <c r="E702" s="83" t="s">
        <v>746</v>
      </c>
      <c r="F702" s="90"/>
      <c r="G702" s="90">
        <f>5979+99+500</f>
        <v>6578</v>
      </c>
      <c r="H702" s="201">
        <v>6425</v>
      </c>
      <c r="I702" s="379"/>
      <c r="J702" s="379">
        <f t="shared" si="44"/>
        <v>97.6740650653694</v>
      </c>
      <c r="K702" s="254"/>
    </row>
    <row r="703" spans="1:11" ht="15">
      <c r="A703" s="87" t="s">
        <v>1640</v>
      </c>
      <c r="B703" s="83" t="s">
        <v>584</v>
      </c>
      <c r="C703" s="83" t="s">
        <v>1788</v>
      </c>
      <c r="D703" s="83" t="s">
        <v>201</v>
      </c>
      <c r="E703" s="83" t="s">
        <v>1637</v>
      </c>
      <c r="F703" s="243">
        <f>F704</f>
        <v>0</v>
      </c>
      <c r="G703" s="243">
        <f>G704</f>
        <v>801</v>
      </c>
      <c r="H703" s="243">
        <f>H704</f>
        <v>756.4</v>
      </c>
      <c r="I703" s="379"/>
      <c r="J703" s="379">
        <f t="shared" si="44"/>
        <v>94.43196004993759</v>
      </c>
      <c r="K703" s="254"/>
    </row>
    <row r="704" spans="1:11" ht="15">
      <c r="A704" s="87" t="s">
        <v>1589</v>
      </c>
      <c r="B704" s="83" t="s">
        <v>584</v>
      </c>
      <c r="C704" s="83" t="s">
        <v>1788</v>
      </c>
      <c r="D704" s="83" t="s">
        <v>201</v>
      </c>
      <c r="E704" s="83" t="s">
        <v>1637</v>
      </c>
      <c r="F704" s="90"/>
      <c r="G704" s="90">
        <f>900-99</f>
        <v>801</v>
      </c>
      <c r="H704" s="254">
        <v>756.4</v>
      </c>
      <c r="I704" s="379"/>
      <c r="J704" s="379">
        <f t="shared" si="44"/>
        <v>94.43196004993759</v>
      </c>
      <c r="K704" s="254"/>
    </row>
    <row r="705" spans="1:11" ht="15">
      <c r="A705" s="87" t="s">
        <v>295</v>
      </c>
      <c r="B705" s="83" t="s">
        <v>584</v>
      </c>
      <c r="C705" s="83" t="s">
        <v>1788</v>
      </c>
      <c r="D705" s="83" t="s">
        <v>201</v>
      </c>
      <c r="E705" s="83" t="s">
        <v>296</v>
      </c>
      <c r="F705" s="243">
        <f>F706</f>
        <v>0</v>
      </c>
      <c r="G705" s="243">
        <f>G706</f>
        <v>2392.5</v>
      </c>
      <c r="H705" s="243">
        <f>H706</f>
        <v>2322.3</v>
      </c>
      <c r="I705" s="379"/>
      <c r="J705" s="379">
        <f t="shared" si="44"/>
        <v>97.06583072100314</v>
      </c>
      <c r="K705" s="254"/>
    </row>
    <row r="706" spans="1:11" ht="24">
      <c r="A706" s="87" t="s">
        <v>303</v>
      </c>
      <c r="B706" s="83" t="s">
        <v>584</v>
      </c>
      <c r="C706" s="83" t="s">
        <v>1788</v>
      </c>
      <c r="D706" s="83" t="s">
        <v>201</v>
      </c>
      <c r="E706" s="83" t="s">
        <v>304</v>
      </c>
      <c r="F706" s="90"/>
      <c r="G706" s="90">
        <f>2297+95.5</f>
        <v>2392.5</v>
      </c>
      <c r="H706" s="254">
        <v>2322.3</v>
      </c>
      <c r="I706" s="379"/>
      <c r="J706" s="379">
        <f t="shared" si="44"/>
        <v>97.06583072100314</v>
      </c>
      <c r="K706" s="254"/>
    </row>
    <row r="707" spans="1:11" ht="24">
      <c r="A707" s="87" t="s">
        <v>1707</v>
      </c>
      <c r="B707" s="83" t="s">
        <v>584</v>
      </c>
      <c r="C707" s="83" t="s">
        <v>1788</v>
      </c>
      <c r="D707" s="83" t="s">
        <v>741</v>
      </c>
      <c r="E707" s="83" t="s">
        <v>1071</v>
      </c>
      <c r="F707" s="243">
        <f>F708+F709</f>
        <v>100</v>
      </c>
      <c r="G707" s="243">
        <f>G708+G709</f>
        <v>100</v>
      </c>
      <c r="H707" s="243">
        <f>H708+H709</f>
        <v>100</v>
      </c>
      <c r="I707" s="379">
        <f>H707/F707*100</f>
        <v>100</v>
      </c>
      <c r="J707" s="379">
        <f t="shared" si="44"/>
        <v>100</v>
      </c>
      <c r="K707" s="254"/>
    </row>
    <row r="708" spans="1:11" ht="15">
      <c r="A708" s="87" t="s">
        <v>1165</v>
      </c>
      <c r="B708" s="83" t="s">
        <v>584</v>
      </c>
      <c r="C708" s="83" t="s">
        <v>1788</v>
      </c>
      <c r="D708" s="83" t="s">
        <v>741</v>
      </c>
      <c r="E708" s="83" t="s">
        <v>90</v>
      </c>
      <c r="F708" s="90"/>
      <c r="G708" s="90">
        <v>100</v>
      </c>
      <c r="H708" s="377">
        <v>100</v>
      </c>
      <c r="I708" s="379"/>
      <c r="J708" s="379">
        <f t="shared" si="44"/>
        <v>100</v>
      </c>
      <c r="K708" s="254"/>
    </row>
    <row r="709" spans="1:11" ht="15">
      <c r="A709" s="87" t="s">
        <v>743</v>
      </c>
      <c r="B709" s="83" t="s">
        <v>584</v>
      </c>
      <c r="C709" s="83" t="s">
        <v>1788</v>
      </c>
      <c r="D709" s="83" t="s">
        <v>741</v>
      </c>
      <c r="E709" s="83" t="s">
        <v>744</v>
      </c>
      <c r="F709" s="243">
        <f>F710</f>
        <v>100</v>
      </c>
      <c r="G709" s="243">
        <f>G710</f>
        <v>0</v>
      </c>
      <c r="H709" s="254"/>
      <c r="I709" s="379">
        <f aca="true" t="shared" si="46" ref="I709:I714">H709/F709*100</f>
        <v>0</v>
      </c>
      <c r="J709" s="379"/>
      <c r="K709" s="254"/>
    </row>
    <row r="710" spans="1:11" ht="15">
      <c r="A710" s="87" t="s">
        <v>1167</v>
      </c>
      <c r="B710" s="83" t="s">
        <v>584</v>
      </c>
      <c r="C710" s="83" t="s">
        <v>1788</v>
      </c>
      <c r="D710" s="83" t="s">
        <v>741</v>
      </c>
      <c r="E710" s="83" t="s">
        <v>1637</v>
      </c>
      <c r="F710" s="243">
        <f>F711</f>
        <v>100</v>
      </c>
      <c r="G710" s="243">
        <f>G711</f>
        <v>0</v>
      </c>
      <c r="H710" s="254"/>
      <c r="I710" s="379">
        <f t="shared" si="46"/>
        <v>0</v>
      </c>
      <c r="J710" s="379"/>
      <c r="K710" s="254"/>
    </row>
    <row r="711" spans="1:11" ht="15">
      <c r="A711" s="87" t="s">
        <v>1590</v>
      </c>
      <c r="B711" s="83" t="s">
        <v>584</v>
      </c>
      <c r="C711" s="83" t="s">
        <v>1788</v>
      </c>
      <c r="D711" s="83" t="s">
        <v>741</v>
      </c>
      <c r="E711" s="83" t="s">
        <v>1637</v>
      </c>
      <c r="F711" s="90">
        <v>100</v>
      </c>
      <c r="G711" s="90">
        <f>100-100</f>
        <v>0</v>
      </c>
      <c r="H711" s="254"/>
      <c r="I711" s="379">
        <f t="shared" si="46"/>
        <v>0</v>
      </c>
      <c r="J711" s="379"/>
      <c r="K711" s="254"/>
    </row>
    <row r="712" spans="1:11" ht="15.75">
      <c r="A712" s="175" t="s">
        <v>1591</v>
      </c>
      <c r="B712" s="116" t="s">
        <v>589</v>
      </c>
      <c r="C712" s="116"/>
      <c r="D712" s="116"/>
      <c r="E712" s="116"/>
      <c r="F712" s="245">
        <f>F713+F775</f>
        <v>269134.6</v>
      </c>
      <c r="G712" s="245">
        <f>G713+G775</f>
        <v>290269.9</v>
      </c>
      <c r="H712" s="245">
        <f>H713+H775</f>
        <v>288494.5</v>
      </c>
      <c r="I712" s="420">
        <f t="shared" si="46"/>
        <v>107.19338947872181</v>
      </c>
      <c r="J712" s="420">
        <f t="shared" si="44"/>
        <v>99.38836234828344</v>
      </c>
      <c r="K712" s="254"/>
    </row>
    <row r="713" spans="1:11" ht="15">
      <c r="A713" s="91" t="s">
        <v>1372</v>
      </c>
      <c r="B713" s="85" t="s">
        <v>589</v>
      </c>
      <c r="C713" s="85" t="s">
        <v>141</v>
      </c>
      <c r="D713" s="85"/>
      <c r="E713" s="85"/>
      <c r="F713" s="243">
        <f>F714+F736+F740+F752+F760+F765</f>
        <v>184907</v>
      </c>
      <c r="G713" s="243">
        <f>G714+G736+G740+G752+G760+G765</f>
        <v>194756.9</v>
      </c>
      <c r="H713" s="243">
        <f>H714+H736+H740+H752+H760+H765</f>
        <v>194186.59999999998</v>
      </c>
      <c r="I713" s="379">
        <f t="shared" si="46"/>
        <v>105.0185228249877</v>
      </c>
      <c r="J713" s="379">
        <f t="shared" si="44"/>
        <v>99.70717340438259</v>
      </c>
      <c r="K713" s="254"/>
    </row>
    <row r="714" spans="1:11" ht="15">
      <c r="A714" s="93" t="s">
        <v>1373</v>
      </c>
      <c r="B714" s="85" t="s">
        <v>589</v>
      </c>
      <c r="C714" s="85" t="s">
        <v>141</v>
      </c>
      <c r="D714" s="85" t="s">
        <v>1374</v>
      </c>
      <c r="E714" s="85"/>
      <c r="F714" s="243">
        <f>F721+F715+F733</f>
        <v>146554</v>
      </c>
      <c r="G714" s="243">
        <f>G721+G717+G715+G733</f>
        <v>149662.19999999998</v>
      </c>
      <c r="H714" s="243">
        <f>H721+H717+H715+H733</f>
        <v>149211.19999999998</v>
      </c>
      <c r="I714" s="379">
        <f t="shared" si="46"/>
        <v>101.81312007860583</v>
      </c>
      <c r="J714" s="379">
        <f t="shared" si="44"/>
        <v>99.69865470372612</v>
      </c>
      <c r="K714" s="254"/>
    </row>
    <row r="715" spans="1:11" ht="24">
      <c r="A715" s="92" t="s">
        <v>1592</v>
      </c>
      <c r="B715" s="85" t="s">
        <v>589</v>
      </c>
      <c r="C715" s="85" t="s">
        <v>141</v>
      </c>
      <c r="D715" s="85" t="s">
        <v>1593</v>
      </c>
      <c r="E715" s="85" t="s">
        <v>1071</v>
      </c>
      <c r="F715" s="243">
        <f>F716</f>
        <v>0</v>
      </c>
      <c r="G715" s="243">
        <f>G716</f>
        <v>351.6</v>
      </c>
      <c r="H715" s="243">
        <f>H716</f>
        <v>0</v>
      </c>
      <c r="I715" s="379"/>
      <c r="J715" s="379"/>
      <c r="K715" s="254"/>
    </row>
    <row r="716" spans="1:11" ht="15">
      <c r="A716" s="87" t="s">
        <v>1640</v>
      </c>
      <c r="B716" s="85" t="s">
        <v>589</v>
      </c>
      <c r="C716" s="85" t="s">
        <v>141</v>
      </c>
      <c r="D716" s="85" t="s">
        <v>1593</v>
      </c>
      <c r="E716" s="85" t="s">
        <v>1637</v>
      </c>
      <c r="F716" s="243">
        <f>F719</f>
        <v>0</v>
      </c>
      <c r="G716" s="243">
        <f>G719</f>
        <v>351.6</v>
      </c>
      <c r="H716" s="243">
        <f>H719</f>
        <v>0</v>
      </c>
      <c r="I716" s="379"/>
      <c r="J716" s="379"/>
      <c r="K716" s="254"/>
    </row>
    <row r="717" spans="1:11" ht="60">
      <c r="A717" s="87" t="s">
        <v>1103</v>
      </c>
      <c r="B717" s="85" t="s">
        <v>589</v>
      </c>
      <c r="C717" s="85" t="s">
        <v>141</v>
      </c>
      <c r="D717" s="85" t="s">
        <v>1102</v>
      </c>
      <c r="E717" s="85" t="s">
        <v>1071</v>
      </c>
      <c r="F717" s="243"/>
      <c r="G717" s="243">
        <f>G718</f>
        <v>95</v>
      </c>
      <c r="H717" s="243">
        <f>H718</f>
        <v>0</v>
      </c>
      <c r="I717" s="379"/>
      <c r="J717" s="379"/>
      <c r="K717" s="254"/>
    </row>
    <row r="718" spans="1:11" ht="15">
      <c r="A718" s="87" t="s">
        <v>1636</v>
      </c>
      <c r="B718" s="85" t="s">
        <v>589</v>
      </c>
      <c r="C718" s="85" t="s">
        <v>141</v>
      </c>
      <c r="D718" s="85" t="s">
        <v>1102</v>
      </c>
      <c r="E718" s="85" t="s">
        <v>1637</v>
      </c>
      <c r="F718" s="243"/>
      <c r="G718" s="90">
        <v>95</v>
      </c>
      <c r="H718" s="243"/>
      <c r="I718" s="379"/>
      <c r="J718" s="379"/>
      <c r="K718" s="254"/>
    </row>
    <row r="719" spans="1:11" ht="15">
      <c r="A719" s="87" t="s">
        <v>1594</v>
      </c>
      <c r="B719" s="85" t="s">
        <v>589</v>
      </c>
      <c r="C719" s="85" t="s">
        <v>141</v>
      </c>
      <c r="D719" s="85" t="s">
        <v>1593</v>
      </c>
      <c r="E719" s="85" t="s">
        <v>1637</v>
      </c>
      <c r="F719" s="90"/>
      <c r="G719" s="90">
        <f>334+17.6</f>
        <v>351.6</v>
      </c>
      <c r="H719" s="254"/>
      <c r="I719" s="379"/>
      <c r="J719" s="379"/>
      <c r="K719" s="254"/>
    </row>
    <row r="720" spans="1:11" ht="15.75" hidden="1">
      <c r="A720" s="87" t="s">
        <v>1758</v>
      </c>
      <c r="B720" s="85" t="s">
        <v>589</v>
      </c>
      <c r="C720" s="85" t="s">
        <v>141</v>
      </c>
      <c r="D720" s="85" t="s">
        <v>581</v>
      </c>
      <c r="E720" s="85" t="s">
        <v>1878</v>
      </c>
      <c r="F720" s="90"/>
      <c r="G720" s="90"/>
      <c r="H720" s="254"/>
      <c r="I720" s="379"/>
      <c r="J720" s="379"/>
      <c r="K720" s="254"/>
    </row>
    <row r="721" spans="1:11" ht="15">
      <c r="A721" s="87" t="s">
        <v>661</v>
      </c>
      <c r="B721" s="85" t="s">
        <v>589</v>
      </c>
      <c r="C721" s="85" t="s">
        <v>141</v>
      </c>
      <c r="D721" s="85" t="s">
        <v>1375</v>
      </c>
      <c r="E721" s="85" t="s">
        <v>1071</v>
      </c>
      <c r="F721" s="243">
        <f>F722+F727+F729</f>
        <v>146554</v>
      </c>
      <c r="G721" s="243">
        <f>G722+G727+G729</f>
        <v>148017.3</v>
      </c>
      <c r="H721" s="243">
        <f>H722+H727+H729</f>
        <v>148017.19999999998</v>
      </c>
      <c r="I721" s="379">
        <f>H721/F721*100</f>
        <v>100.99840331891315</v>
      </c>
      <c r="J721" s="379">
        <f aca="true" t="shared" si="47" ref="J721:J781">H721/G721*100</f>
        <v>99.99993244032962</v>
      </c>
      <c r="K721" s="254"/>
    </row>
    <row r="722" spans="1:11" ht="15">
      <c r="A722" s="87" t="s">
        <v>743</v>
      </c>
      <c r="B722" s="85" t="s">
        <v>589</v>
      </c>
      <c r="C722" s="85" t="s">
        <v>141</v>
      </c>
      <c r="D722" s="85" t="s">
        <v>1375</v>
      </c>
      <c r="E722" s="85" t="s">
        <v>744</v>
      </c>
      <c r="F722" s="243">
        <f>F723+F724</f>
        <v>127569</v>
      </c>
      <c r="G722" s="243">
        <f>G723+G724</f>
        <v>127412</v>
      </c>
      <c r="H722" s="243">
        <f>H723+H724</f>
        <v>127411.9</v>
      </c>
      <c r="I722" s="379">
        <f>H722/F722*100</f>
        <v>99.8768509590888</v>
      </c>
      <c r="J722" s="379">
        <f t="shared" si="47"/>
        <v>99.99992151445703</v>
      </c>
      <c r="K722" s="254"/>
    </row>
    <row r="723" spans="1:11" ht="24">
      <c r="A723" s="87" t="s">
        <v>745</v>
      </c>
      <c r="B723" s="85" t="s">
        <v>589</v>
      </c>
      <c r="C723" s="85" t="s">
        <v>141</v>
      </c>
      <c r="D723" s="85" t="s">
        <v>1375</v>
      </c>
      <c r="E723" s="85" t="s">
        <v>746</v>
      </c>
      <c r="F723" s="90">
        <v>127569</v>
      </c>
      <c r="G723" s="90">
        <f>128769-1200-919+360-517</f>
        <v>126493</v>
      </c>
      <c r="H723" s="201">
        <v>126492.9</v>
      </c>
      <c r="I723" s="379">
        <f>H723/F723*100</f>
        <v>99.15645650589092</v>
      </c>
      <c r="J723" s="379">
        <f t="shared" si="47"/>
        <v>99.99992094424198</v>
      </c>
      <c r="K723" s="254"/>
    </row>
    <row r="724" spans="1:11" ht="15">
      <c r="A724" s="87" t="s">
        <v>1640</v>
      </c>
      <c r="B724" s="85" t="s">
        <v>589</v>
      </c>
      <c r="C724" s="85" t="s">
        <v>141</v>
      </c>
      <c r="D724" s="85" t="s">
        <v>1375</v>
      </c>
      <c r="E724" s="85" t="s">
        <v>1637</v>
      </c>
      <c r="F724" s="243">
        <f>F725+F726</f>
        <v>0</v>
      </c>
      <c r="G724" s="243">
        <f>G725+G726</f>
        <v>919</v>
      </c>
      <c r="H724" s="243">
        <f>H725+H726</f>
        <v>919</v>
      </c>
      <c r="I724" s="379"/>
      <c r="J724" s="379">
        <f t="shared" si="47"/>
        <v>100</v>
      </c>
      <c r="K724" s="254"/>
    </row>
    <row r="725" spans="1:11" ht="15.75" hidden="1">
      <c r="A725" s="87"/>
      <c r="B725" s="85"/>
      <c r="C725" s="85"/>
      <c r="D725" s="85"/>
      <c r="E725" s="85"/>
      <c r="F725" s="90"/>
      <c r="G725" s="90"/>
      <c r="H725" s="254"/>
      <c r="I725" s="379"/>
      <c r="J725" s="379" t="e">
        <f t="shared" si="47"/>
        <v>#DIV/0!</v>
      </c>
      <c r="K725" s="254"/>
    </row>
    <row r="726" spans="1:11" ht="15">
      <c r="A726" s="358" t="s">
        <v>1595</v>
      </c>
      <c r="B726" s="85" t="s">
        <v>589</v>
      </c>
      <c r="C726" s="85" t="s">
        <v>141</v>
      </c>
      <c r="D726" s="85" t="s">
        <v>1375</v>
      </c>
      <c r="E726" s="85" t="s">
        <v>1637</v>
      </c>
      <c r="F726" s="90"/>
      <c r="G726" s="90">
        <v>919</v>
      </c>
      <c r="H726" s="377">
        <v>919</v>
      </c>
      <c r="I726" s="379"/>
      <c r="J726" s="379">
        <f t="shared" si="47"/>
        <v>100</v>
      </c>
      <c r="K726" s="254"/>
    </row>
    <row r="727" spans="1:11" ht="15">
      <c r="A727" s="87" t="s">
        <v>302</v>
      </c>
      <c r="B727" s="85" t="s">
        <v>589</v>
      </c>
      <c r="C727" s="85" t="s">
        <v>141</v>
      </c>
      <c r="D727" s="85" t="s">
        <v>1375</v>
      </c>
      <c r="E727" s="85" t="s">
        <v>296</v>
      </c>
      <c r="F727" s="243">
        <f>F728</f>
        <v>18985</v>
      </c>
      <c r="G727" s="243">
        <f>G728</f>
        <v>19335</v>
      </c>
      <c r="H727" s="243">
        <f>H728</f>
        <v>19335</v>
      </c>
      <c r="I727" s="379">
        <f>H727/F727*100</f>
        <v>101.8435607058204</v>
      </c>
      <c r="J727" s="379">
        <f t="shared" si="47"/>
        <v>100</v>
      </c>
      <c r="K727" s="254"/>
    </row>
    <row r="728" spans="1:11" ht="24">
      <c r="A728" s="87" t="s">
        <v>303</v>
      </c>
      <c r="B728" s="85" t="s">
        <v>589</v>
      </c>
      <c r="C728" s="85" t="s">
        <v>141</v>
      </c>
      <c r="D728" s="85" t="s">
        <v>1375</v>
      </c>
      <c r="E728" s="85" t="s">
        <v>304</v>
      </c>
      <c r="F728" s="90">
        <v>18985</v>
      </c>
      <c r="G728" s="90">
        <f>18985+350</f>
        <v>19335</v>
      </c>
      <c r="H728" s="201">
        <v>19335</v>
      </c>
      <c r="I728" s="379">
        <f>H728/F728*100</f>
        <v>101.8435607058204</v>
      </c>
      <c r="J728" s="379">
        <f t="shared" si="47"/>
        <v>100</v>
      </c>
      <c r="K728" s="254"/>
    </row>
    <row r="729" spans="1:11" ht="15">
      <c r="A729" s="87" t="s">
        <v>305</v>
      </c>
      <c r="B729" s="85" t="s">
        <v>589</v>
      </c>
      <c r="C729" s="85" t="s">
        <v>141</v>
      </c>
      <c r="D729" s="85" t="s">
        <v>1375</v>
      </c>
      <c r="E729" s="85" t="s">
        <v>801</v>
      </c>
      <c r="F729" s="243">
        <f>F730+F731+F732</f>
        <v>0</v>
      </c>
      <c r="G729" s="243">
        <f>G730+G731+G732</f>
        <v>1270.3</v>
      </c>
      <c r="H729" s="243">
        <f>H730+H731+H732</f>
        <v>1270.3</v>
      </c>
      <c r="I729" s="379"/>
      <c r="J729" s="379">
        <f t="shared" si="47"/>
        <v>100</v>
      </c>
      <c r="K729" s="254"/>
    </row>
    <row r="730" spans="1:11" ht="36">
      <c r="A730" s="87" t="s">
        <v>1596</v>
      </c>
      <c r="B730" s="85" t="s">
        <v>589</v>
      </c>
      <c r="C730" s="85" t="s">
        <v>141</v>
      </c>
      <c r="D730" s="85" t="s">
        <v>1375</v>
      </c>
      <c r="E730" s="85" t="s">
        <v>801</v>
      </c>
      <c r="F730" s="90"/>
      <c r="G730" s="90">
        <v>364.9</v>
      </c>
      <c r="H730" s="254">
        <v>364.9</v>
      </c>
      <c r="I730" s="379"/>
      <c r="J730" s="379">
        <f t="shared" si="47"/>
        <v>100</v>
      </c>
      <c r="K730" s="254"/>
    </row>
    <row r="731" spans="1:11" ht="24">
      <c r="A731" s="87" t="s">
        <v>562</v>
      </c>
      <c r="B731" s="85" t="s">
        <v>589</v>
      </c>
      <c r="C731" s="85" t="s">
        <v>141</v>
      </c>
      <c r="D731" s="85" t="s">
        <v>1375</v>
      </c>
      <c r="E731" s="85" t="s">
        <v>801</v>
      </c>
      <c r="F731" s="90"/>
      <c r="G731" s="90">
        <v>305.4</v>
      </c>
      <c r="H731" s="254">
        <v>305.4</v>
      </c>
      <c r="I731" s="379"/>
      <c r="J731" s="379">
        <f t="shared" si="47"/>
        <v>100</v>
      </c>
      <c r="K731" s="254"/>
    </row>
    <row r="732" spans="1:11" ht="15">
      <c r="A732" s="87" t="s">
        <v>1641</v>
      </c>
      <c r="B732" s="85" t="s">
        <v>589</v>
      </c>
      <c r="C732" s="85" t="s">
        <v>141</v>
      </c>
      <c r="D732" s="85" t="s">
        <v>1375</v>
      </c>
      <c r="E732" s="85" t="s">
        <v>801</v>
      </c>
      <c r="F732" s="90"/>
      <c r="G732" s="90">
        <v>600</v>
      </c>
      <c r="H732" s="254">
        <v>600</v>
      </c>
      <c r="I732" s="379"/>
      <c r="J732" s="379">
        <f t="shared" si="47"/>
        <v>100</v>
      </c>
      <c r="K732" s="254"/>
    </row>
    <row r="733" spans="1:11" ht="24">
      <c r="A733" s="87" t="s">
        <v>563</v>
      </c>
      <c r="B733" s="85" t="s">
        <v>589</v>
      </c>
      <c r="C733" s="85" t="s">
        <v>141</v>
      </c>
      <c r="D733" s="85" t="s">
        <v>564</v>
      </c>
      <c r="E733" s="85" t="s">
        <v>1071</v>
      </c>
      <c r="F733" s="243">
        <f aca="true" t="shared" si="48" ref="F733:H734">F734</f>
        <v>0</v>
      </c>
      <c r="G733" s="243">
        <f t="shared" si="48"/>
        <v>1198.3</v>
      </c>
      <c r="H733" s="243">
        <f t="shared" si="48"/>
        <v>1194</v>
      </c>
      <c r="I733" s="379"/>
      <c r="J733" s="379">
        <f t="shared" si="47"/>
        <v>99.64115830760244</v>
      </c>
      <c r="K733" s="254"/>
    </row>
    <row r="734" spans="1:11" ht="15">
      <c r="A734" s="87" t="s">
        <v>1640</v>
      </c>
      <c r="B734" s="85" t="s">
        <v>589</v>
      </c>
      <c r="C734" s="85" t="s">
        <v>141</v>
      </c>
      <c r="D734" s="85" t="s">
        <v>564</v>
      </c>
      <c r="E734" s="85" t="s">
        <v>1637</v>
      </c>
      <c r="F734" s="243">
        <f t="shared" si="48"/>
        <v>0</v>
      </c>
      <c r="G734" s="243">
        <f t="shared" si="48"/>
        <v>1198.3</v>
      </c>
      <c r="H734" s="243">
        <f t="shared" si="48"/>
        <v>1194</v>
      </c>
      <c r="I734" s="379"/>
      <c r="J734" s="379">
        <f t="shared" si="47"/>
        <v>99.64115830760244</v>
      </c>
      <c r="K734" s="254"/>
    </row>
    <row r="735" spans="1:11" ht="24">
      <c r="A735" s="87" t="s">
        <v>1672</v>
      </c>
      <c r="B735" s="85" t="s">
        <v>589</v>
      </c>
      <c r="C735" s="85" t="s">
        <v>141</v>
      </c>
      <c r="D735" s="85" t="s">
        <v>564</v>
      </c>
      <c r="E735" s="85" t="s">
        <v>1637</v>
      </c>
      <c r="F735" s="90"/>
      <c r="G735" s="90">
        <v>1198.3</v>
      </c>
      <c r="H735" s="201">
        <v>1194</v>
      </c>
      <c r="I735" s="379"/>
      <c r="J735" s="379">
        <f t="shared" si="47"/>
        <v>99.64115830760244</v>
      </c>
      <c r="K735" s="254"/>
    </row>
    <row r="736" spans="1:11" ht="15">
      <c r="A736" s="93" t="s">
        <v>1376</v>
      </c>
      <c r="B736" s="85" t="s">
        <v>589</v>
      </c>
      <c r="C736" s="85" t="s">
        <v>141</v>
      </c>
      <c r="D736" s="85" t="s">
        <v>1377</v>
      </c>
      <c r="E736" s="85"/>
      <c r="F736" s="243">
        <f aca="true" t="shared" si="49" ref="F736:H738">F737</f>
        <v>2722</v>
      </c>
      <c r="G736" s="243">
        <f t="shared" si="49"/>
        <v>2420</v>
      </c>
      <c r="H736" s="243">
        <f t="shared" si="49"/>
        <v>2415.7</v>
      </c>
      <c r="I736" s="379">
        <f>H736/F736*100</f>
        <v>88.74724467303453</v>
      </c>
      <c r="J736" s="379">
        <f t="shared" si="47"/>
        <v>99.82231404958677</v>
      </c>
      <c r="K736" s="254"/>
    </row>
    <row r="737" spans="1:11" ht="15">
      <c r="A737" s="87" t="s">
        <v>661</v>
      </c>
      <c r="B737" s="85" t="s">
        <v>589</v>
      </c>
      <c r="C737" s="85" t="s">
        <v>141</v>
      </c>
      <c r="D737" s="85" t="s">
        <v>1378</v>
      </c>
      <c r="E737" s="85" t="s">
        <v>1071</v>
      </c>
      <c r="F737" s="243">
        <f t="shared" si="49"/>
        <v>2722</v>
      </c>
      <c r="G737" s="243">
        <f t="shared" si="49"/>
        <v>2420</v>
      </c>
      <c r="H737" s="243">
        <f t="shared" si="49"/>
        <v>2415.7</v>
      </c>
      <c r="I737" s="379">
        <f>H737/F737*100</f>
        <v>88.74724467303453</v>
      </c>
      <c r="J737" s="379">
        <f t="shared" si="47"/>
        <v>99.82231404958677</v>
      </c>
      <c r="K737" s="254"/>
    </row>
    <row r="738" spans="1:11" ht="15">
      <c r="A738" s="87" t="s">
        <v>743</v>
      </c>
      <c r="B738" s="85" t="s">
        <v>589</v>
      </c>
      <c r="C738" s="85" t="s">
        <v>141</v>
      </c>
      <c r="D738" s="85" t="s">
        <v>1378</v>
      </c>
      <c r="E738" s="85" t="s">
        <v>744</v>
      </c>
      <c r="F738" s="243">
        <f t="shared" si="49"/>
        <v>2722</v>
      </c>
      <c r="G738" s="243">
        <f t="shared" si="49"/>
        <v>2420</v>
      </c>
      <c r="H738" s="243">
        <f t="shared" si="49"/>
        <v>2415.7</v>
      </c>
      <c r="I738" s="379">
        <f>H738/F738*100</f>
        <v>88.74724467303453</v>
      </c>
      <c r="J738" s="379">
        <f t="shared" si="47"/>
        <v>99.82231404958677</v>
      </c>
      <c r="K738" s="254"/>
    </row>
    <row r="739" spans="1:11" ht="24">
      <c r="A739" s="87" t="s">
        <v>745</v>
      </c>
      <c r="B739" s="85" t="s">
        <v>589</v>
      </c>
      <c r="C739" s="85" t="s">
        <v>141</v>
      </c>
      <c r="D739" s="85" t="s">
        <v>1378</v>
      </c>
      <c r="E739" s="85" t="s">
        <v>746</v>
      </c>
      <c r="F739" s="90">
        <v>2722</v>
      </c>
      <c r="G739" s="90">
        <f>2722-302</f>
        <v>2420</v>
      </c>
      <c r="H739" s="201">
        <v>2415.7</v>
      </c>
      <c r="I739" s="379">
        <f>H739/F739*100</f>
        <v>88.74724467303453</v>
      </c>
      <c r="J739" s="379">
        <f t="shared" si="47"/>
        <v>99.82231404958677</v>
      </c>
      <c r="K739" s="254"/>
    </row>
    <row r="740" spans="1:11" ht="15">
      <c r="A740" s="93" t="s">
        <v>1379</v>
      </c>
      <c r="B740" s="85" t="s">
        <v>589</v>
      </c>
      <c r="C740" s="85" t="s">
        <v>141</v>
      </c>
      <c r="D740" s="85" t="s">
        <v>1380</v>
      </c>
      <c r="E740" s="85"/>
      <c r="F740" s="243">
        <f>F741+F743</f>
        <v>31558</v>
      </c>
      <c r="G740" s="243">
        <f>G741+G743</f>
        <v>30749</v>
      </c>
      <c r="H740" s="243">
        <f>H741+H743</f>
        <v>30681.6</v>
      </c>
      <c r="I740" s="379">
        <f>H740/F740*100</f>
        <v>97.2228911844857</v>
      </c>
      <c r="J740" s="379">
        <f t="shared" si="47"/>
        <v>99.78080587986601</v>
      </c>
      <c r="K740" s="254"/>
    </row>
    <row r="741" spans="1:11" ht="36">
      <c r="A741" s="92" t="s">
        <v>1673</v>
      </c>
      <c r="B741" s="85" t="s">
        <v>589</v>
      </c>
      <c r="C741" s="85" t="s">
        <v>141</v>
      </c>
      <c r="D741" s="85" t="s">
        <v>1674</v>
      </c>
      <c r="E741" s="85" t="s">
        <v>1071</v>
      </c>
      <c r="F741" s="243">
        <f>F742</f>
        <v>0</v>
      </c>
      <c r="G741" s="243">
        <f>G742</f>
        <v>95</v>
      </c>
      <c r="H741" s="243">
        <f>H742</f>
        <v>75</v>
      </c>
      <c r="I741" s="379"/>
      <c r="J741" s="379">
        <f t="shared" si="47"/>
        <v>78.94736842105263</v>
      </c>
      <c r="K741" s="254"/>
    </row>
    <row r="742" spans="1:11" ht="15">
      <c r="A742" s="87" t="s">
        <v>1675</v>
      </c>
      <c r="B742" s="85" t="s">
        <v>589</v>
      </c>
      <c r="C742" s="85" t="s">
        <v>141</v>
      </c>
      <c r="D742" s="85" t="s">
        <v>1674</v>
      </c>
      <c r="E742" s="85" t="s">
        <v>1637</v>
      </c>
      <c r="F742" s="248"/>
      <c r="G742" s="248">
        <v>95</v>
      </c>
      <c r="H742" s="377">
        <v>75</v>
      </c>
      <c r="I742" s="379"/>
      <c r="J742" s="379">
        <f t="shared" si="47"/>
        <v>78.94736842105263</v>
      </c>
      <c r="K742" s="254"/>
    </row>
    <row r="743" spans="1:11" ht="15">
      <c r="A743" s="87" t="s">
        <v>661</v>
      </c>
      <c r="B743" s="85" t="s">
        <v>589</v>
      </c>
      <c r="C743" s="85" t="s">
        <v>141</v>
      </c>
      <c r="D743" s="85" t="s">
        <v>1381</v>
      </c>
      <c r="E743" s="85" t="s">
        <v>1071</v>
      </c>
      <c r="F743" s="243">
        <f>F744</f>
        <v>31558</v>
      </c>
      <c r="G743" s="243">
        <f>G744</f>
        <v>30654</v>
      </c>
      <c r="H743" s="243">
        <f>H744</f>
        <v>30606.6</v>
      </c>
      <c r="I743" s="379">
        <f>H743/F743*100</f>
        <v>96.98523353824703</v>
      </c>
      <c r="J743" s="379">
        <f t="shared" si="47"/>
        <v>99.8453709140732</v>
      </c>
      <c r="K743" s="254"/>
    </row>
    <row r="744" spans="1:11" ht="15">
      <c r="A744" s="87" t="s">
        <v>743</v>
      </c>
      <c r="B744" s="85" t="s">
        <v>589</v>
      </c>
      <c r="C744" s="85" t="s">
        <v>141</v>
      </c>
      <c r="D744" s="85" t="s">
        <v>1381</v>
      </c>
      <c r="E744" s="85" t="s">
        <v>744</v>
      </c>
      <c r="F744" s="243">
        <f>F745+F746+F749</f>
        <v>31558</v>
      </c>
      <c r="G744" s="243">
        <f>G745+G746+G749</f>
        <v>30654</v>
      </c>
      <c r="H744" s="243">
        <f>H745+H746+H749</f>
        <v>30606.6</v>
      </c>
      <c r="I744" s="379">
        <f>H744/F744*100</f>
        <v>96.98523353824703</v>
      </c>
      <c r="J744" s="379">
        <f t="shared" si="47"/>
        <v>99.8453709140732</v>
      </c>
      <c r="K744" s="254"/>
    </row>
    <row r="745" spans="1:11" ht="24">
      <c r="A745" s="87" t="s">
        <v>745</v>
      </c>
      <c r="B745" s="85" t="s">
        <v>589</v>
      </c>
      <c r="C745" s="85" t="s">
        <v>141</v>
      </c>
      <c r="D745" s="85" t="s">
        <v>1381</v>
      </c>
      <c r="E745" s="85" t="s">
        <v>746</v>
      </c>
      <c r="F745" s="90">
        <v>31045</v>
      </c>
      <c r="G745" s="90">
        <f>31558-513-506.8+76-5-979</f>
        <v>29630.2</v>
      </c>
      <c r="H745" s="201">
        <v>29621.6</v>
      </c>
      <c r="I745" s="379">
        <f>H745/F745*100</f>
        <v>95.41504267998067</v>
      </c>
      <c r="J745" s="379">
        <f t="shared" si="47"/>
        <v>99.97097555872048</v>
      </c>
      <c r="K745" s="254"/>
    </row>
    <row r="746" spans="1:11" ht="15">
      <c r="A746" s="358" t="s">
        <v>1640</v>
      </c>
      <c r="B746" s="85" t="s">
        <v>589</v>
      </c>
      <c r="C746" s="85" t="s">
        <v>141</v>
      </c>
      <c r="D746" s="85" t="s">
        <v>1381</v>
      </c>
      <c r="E746" s="85" t="s">
        <v>1637</v>
      </c>
      <c r="F746" s="243">
        <f>F747+F748</f>
        <v>0</v>
      </c>
      <c r="G746" s="243">
        <f>G747+G748</f>
        <v>511.8</v>
      </c>
      <c r="H746" s="243">
        <f>H747+H748</f>
        <v>473</v>
      </c>
      <c r="I746" s="379"/>
      <c r="J746" s="379">
        <f t="shared" si="47"/>
        <v>92.4189136381399</v>
      </c>
      <c r="K746" s="254"/>
    </row>
    <row r="747" spans="1:11" ht="15">
      <c r="A747" s="87" t="s">
        <v>1595</v>
      </c>
      <c r="B747" s="85" t="s">
        <v>589</v>
      </c>
      <c r="C747" s="85" t="s">
        <v>141</v>
      </c>
      <c r="D747" s="85" t="s">
        <v>1381</v>
      </c>
      <c r="E747" s="85" t="s">
        <v>1637</v>
      </c>
      <c r="F747" s="90"/>
      <c r="G747" s="90">
        <v>506.8</v>
      </c>
      <c r="H747" s="377">
        <v>468</v>
      </c>
      <c r="I747" s="379"/>
      <c r="J747" s="379">
        <f t="shared" si="47"/>
        <v>92.34411996842937</v>
      </c>
      <c r="K747" s="254"/>
    </row>
    <row r="748" spans="1:11" ht="36">
      <c r="A748" s="87" t="s">
        <v>1676</v>
      </c>
      <c r="B748" s="85" t="s">
        <v>589</v>
      </c>
      <c r="C748" s="85" t="s">
        <v>141</v>
      </c>
      <c r="D748" s="85" t="s">
        <v>1381</v>
      </c>
      <c r="E748" s="85" t="s">
        <v>1637</v>
      </c>
      <c r="F748" s="90"/>
      <c r="G748" s="90">
        <v>5</v>
      </c>
      <c r="H748" s="377">
        <v>5</v>
      </c>
      <c r="I748" s="379"/>
      <c r="J748" s="379">
        <f t="shared" si="47"/>
        <v>100</v>
      </c>
      <c r="K748" s="254"/>
    </row>
    <row r="749" spans="1:11" ht="15">
      <c r="A749" s="87" t="s">
        <v>1640</v>
      </c>
      <c r="B749" s="85" t="s">
        <v>589</v>
      </c>
      <c r="C749" s="85" t="s">
        <v>141</v>
      </c>
      <c r="D749" s="85" t="s">
        <v>1677</v>
      </c>
      <c r="E749" s="85" t="s">
        <v>1637</v>
      </c>
      <c r="F749" s="243">
        <f>F750+F751+F759</f>
        <v>513</v>
      </c>
      <c r="G749" s="243">
        <f>G750+G751+G759</f>
        <v>512</v>
      </c>
      <c r="H749" s="243">
        <f>H750+H751+H759</f>
        <v>512</v>
      </c>
      <c r="I749" s="379">
        <f>H749/F749*100</f>
        <v>99.80506822612085</v>
      </c>
      <c r="J749" s="379">
        <f t="shared" si="47"/>
        <v>100</v>
      </c>
      <c r="K749" s="254"/>
    </row>
    <row r="750" spans="1:11" ht="15">
      <c r="A750" s="87" t="s">
        <v>1641</v>
      </c>
      <c r="B750" s="85" t="s">
        <v>589</v>
      </c>
      <c r="C750" s="85" t="s">
        <v>141</v>
      </c>
      <c r="D750" s="85" t="s">
        <v>1677</v>
      </c>
      <c r="E750" s="85" t="s">
        <v>1637</v>
      </c>
      <c r="F750" s="90">
        <v>513</v>
      </c>
      <c r="G750" s="90">
        <v>212</v>
      </c>
      <c r="H750" s="377">
        <v>212</v>
      </c>
      <c r="I750" s="379">
        <f>H750/F750*100</f>
        <v>41.32553606237816</v>
      </c>
      <c r="J750" s="379">
        <f t="shared" si="47"/>
        <v>100</v>
      </c>
      <c r="K750" s="254"/>
    </row>
    <row r="751" spans="1:11" ht="15">
      <c r="A751" s="87" t="s">
        <v>1678</v>
      </c>
      <c r="B751" s="85" t="s">
        <v>589</v>
      </c>
      <c r="C751" s="85" t="s">
        <v>141</v>
      </c>
      <c r="D751" s="85" t="s">
        <v>1677</v>
      </c>
      <c r="E751" s="85" t="s">
        <v>1637</v>
      </c>
      <c r="F751" s="90"/>
      <c r="G751" s="90">
        <v>300</v>
      </c>
      <c r="H751" s="377">
        <v>300</v>
      </c>
      <c r="I751" s="379"/>
      <c r="J751" s="379">
        <f t="shared" si="47"/>
        <v>100</v>
      </c>
      <c r="K751" s="254"/>
    </row>
    <row r="752" spans="1:11" ht="15">
      <c r="A752" s="93" t="s">
        <v>1382</v>
      </c>
      <c r="B752" s="85" t="s">
        <v>589</v>
      </c>
      <c r="C752" s="85" t="s">
        <v>141</v>
      </c>
      <c r="D752" s="85" t="s">
        <v>1383</v>
      </c>
      <c r="E752" s="85"/>
      <c r="F752" s="243">
        <f>F755+F753</f>
        <v>4073</v>
      </c>
      <c r="G752" s="243">
        <f>G755+G753</f>
        <v>0</v>
      </c>
      <c r="H752" s="254"/>
      <c r="I752" s="379"/>
      <c r="J752" s="379"/>
      <c r="K752" s="254"/>
    </row>
    <row r="753" spans="1:11" ht="15.75" hidden="1">
      <c r="A753" s="92" t="s">
        <v>1384</v>
      </c>
      <c r="B753" s="85" t="s">
        <v>589</v>
      </c>
      <c r="C753" s="85" t="s">
        <v>141</v>
      </c>
      <c r="D753" s="85" t="s">
        <v>1385</v>
      </c>
      <c r="E753" s="85"/>
      <c r="F753" s="243">
        <f>F754</f>
        <v>0</v>
      </c>
      <c r="G753" s="243">
        <f>G754</f>
        <v>0</v>
      </c>
      <c r="H753" s="254"/>
      <c r="I753" s="379"/>
      <c r="J753" s="379"/>
      <c r="K753" s="254"/>
    </row>
    <row r="754" spans="1:11" ht="15.75" hidden="1">
      <c r="A754" s="87" t="s">
        <v>1758</v>
      </c>
      <c r="B754" s="85" t="s">
        <v>589</v>
      </c>
      <c r="C754" s="85" t="s">
        <v>141</v>
      </c>
      <c r="D754" s="85" t="s">
        <v>1385</v>
      </c>
      <c r="E754" s="85" t="s">
        <v>1878</v>
      </c>
      <c r="F754" s="90">
        <v>0</v>
      </c>
      <c r="G754" s="90">
        <v>0</v>
      </c>
      <c r="H754" s="254"/>
      <c r="I754" s="379"/>
      <c r="J754" s="379"/>
      <c r="K754" s="254"/>
    </row>
    <row r="755" spans="1:11" ht="15">
      <c r="A755" s="87" t="s">
        <v>41</v>
      </c>
      <c r="B755" s="85" t="s">
        <v>589</v>
      </c>
      <c r="C755" s="85" t="s">
        <v>141</v>
      </c>
      <c r="D755" s="85" t="s">
        <v>42</v>
      </c>
      <c r="E755" s="85" t="s">
        <v>1071</v>
      </c>
      <c r="F755" s="243">
        <f>F756+F757</f>
        <v>4073</v>
      </c>
      <c r="G755" s="243">
        <f>G756+G757</f>
        <v>0</v>
      </c>
      <c r="H755" s="254"/>
      <c r="I755" s="379"/>
      <c r="J755" s="379"/>
      <c r="K755" s="254"/>
    </row>
    <row r="756" spans="1:11" ht="15">
      <c r="A756" s="87" t="s">
        <v>118</v>
      </c>
      <c r="B756" s="85" t="s">
        <v>589</v>
      </c>
      <c r="C756" s="85" t="s">
        <v>141</v>
      </c>
      <c r="D756" s="85" t="s">
        <v>42</v>
      </c>
      <c r="E756" s="85" t="s">
        <v>541</v>
      </c>
      <c r="F756" s="90">
        <v>4073</v>
      </c>
      <c r="G756" s="90"/>
      <c r="H756" s="254"/>
      <c r="I756" s="379"/>
      <c r="J756" s="379"/>
      <c r="K756" s="254"/>
    </row>
    <row r="757" spans="1:11" ht="15.75" hidden="1">
      <c r="A757" s="87" t="s">
        <v>1167</v>
      </c>
      <c r="B757" s="85" t="s">
        <v>589</v>
      </c>
      <c r="C757" s="85" t="s">
        <v>141</v>
      </c>
      <c r="D757" s="85" t="s">
        <v>42</v>
      </c>
      <c r="E757" s="85" t="s">
        <v>1637</v>
      </c>
      <c r="F757" s="243">
        <f>F758</f>
        <v>0</v>
      </c>
      <c r="G757" s="243">
        <f>G758</f>
        <v>0</v>
      </c>
      <c r="H757" s="254"/>
      <c r="I757" s="379"/>
      <c r="J757" s="379" t="e">
        <f t="shared" si="47"/>
        <v>#DIV/0!</v>
      </c>
      <c r="K757" s="254"/>
    </row>
    <row r="758" spans="1:11" ht="15.75" hidden="1">
      <c r="A758" s="87" t="s">
        <v>1679</v>
      </c>
      <c r="B758" s="85" t="s">
        <v>589</v>
      </c>
      <c r="C758" s="85" t="s">
        <v>141</v>
      </c>
      <c r="D758" s="85" t="s">
        <v>42</v>
      </c>
      <c r="E758" s="85" t="s">
        <v>1637</v>
      </c>
      <c r="F758" s="90">
        <v>0</v>
      </c>
      <c r="G758" s="90">
        <v>0</v>
      </c>
      <c r="H758" s="254"/>
      <c r="I758" s="379"/>
      <c r="J758" s="379" t="e">
        <f t="shared" si="47"/>
        <v>#DIV/0!</v>
      </c>
      <c r="K758" s="254"/>
    </row>
    <row r="759" spans="1:11" ht="15.75" hidden="1">
      <c r="A759" s="87"/>
      <c r="B759" s="85"/>
      <c r="C759" s="85"/>
      <c r="D759" s="85"/>
      <c r="E759" s="85"/>
      <c r="F759" s="90"/>
      <c r="G759" s="90"/>
      <c r="H759" s="254"/>
      <c r="I759" s="379"/>
      <c r="J759" s="379" t="e">
        <f t="shared" si="47"/>
        <v>#DIV/0!</v>
      </c>
      <c r="K759" s="254"/>
    </row>
    <row r="760" spans="1:11" ht="24">
      <c r="A760" s="360" t="s">
        <v>1664</v>
      </c>
      <c r="B760" s="85" t="s">
        <v>589</v>
      </c>
      <c r="C760" s="85" t="s">
        <v>141</v>
      </c>
      <c r="D760" s="85" t="s">
        <v>1665</v>
      </c>
      <c r="E760" s="85" t="s">
        <v>1071</v>
      </c>
      <c r="F760" s="243">
        <f>F761</f>
        <v>0</v>
      </c>
      <c r="G760" s="243">
        <f>G761</f>
        <v>2750</v>
      </c>
      <c r="H760" s="243">
        <f>H761</f>
        <v>2724.8</v>
      </c>
      <c r="I760" s="379"/>
      <c r="J760" s="379">
        <f t="shared" si="47"/>
        <v>99.08363636363637</v>
      </c>
      <c r="K760" s="254"/>
    </row>
    <row r="761" spans="1:11" ht="15">
      <c r="A761" s="358" t="s">
        <v>1170</v>
      </c>
      <c r="B761" s="85" t="s">
        <v>589</v>
      </c>
      <c r="C761" s="85" t="s">
        <v>141</v>
      </c>
      <c r="D761" s="85" t="s">
        <v>1665</v>
      </c>
      <c r="E761" s="85" t="s">
        <v>1637</v>
      </c>
      <c r="F761" s="243">
        <f>F762+F763+F764</f>
        <v>0</v>
      </c>
      <c r="G761" s="243">
        <f>G762+G763+G764</f>
        <v>2750</v>
      </c>
      <c r="H761" s="243">
        <f>H762+H763+H764</f>
        <v>2724.8</v>
      </c>
      <c r="I761" s="379"/>
      <c r="J761" s="379">
        <f t="shared" si="47"/>
        <v>99.08363636363637</v>
      </c>
      <c r="K761" s="254"/>
    </row>
    <row r="762" spans="1:11" ht="24">
      <c r="A762" s="358" t="s">
        <v>1680</v>
      </c>
      <c r="B762" s="85" t="s">
        <v>589</v>
      </c>
      <c r="C762" s="85" t="s">
        <v>141</v>
      </c>
      <c r="D762" s="85" t="s">
        <v>1665</v>
      </c>
      <c r="E762" s="85" t="s">
        <v>1637</v>
      </c>
      <c r="F762" s="90"/>
      <c r="G762" s="90">
        <v>2000</v>
      </c>
      <c r="H762" s="254">
        <v>1996.3</v>
      </c>
      <c r="I762" s="379"/>
      <c r="J762" s="379">
        <f t="shared" si="47"/>
        <v>99.815</v>
      </c>
      <c r="K762" s="254"/>
    </row>
    <row r="763" spans="1:11" ht="24">
      <c r="A763" s="358" t="s">
        <v>1681</v>
      </c>
      <c r="B763" s="85" t="s">
        <v>589</v>
      </c>
      <c r="C763" s="85" t="s">
        <v>141</v>
      </c>
      <c r="D763" s="85" t="s">
        <v>1665</v>
      </c>
      <c r="E763" s="85" t="s">
        <v>1637</v>
      </c>
      <c r="F763" s="90"/>
      <c r="G763" s="90">
        <v>500</v>
      </c>
      <c r="H763" s="254">
        <v>478.5</v>
      </c>
      <c r="I763" s="379"/>
      <c r="J763" s="379">
        <f t="shared" si="47"/>
        <v>95.7</v>
      </c>
      <c r="K763" s="254"/>
    </row>
    <row r="764" spans="1:11" ht="15">
      <c r="A764" s="358" t="s">
        <v>1682</v>
      </c>
      <c r="B764" s="85" t="s">
        <v>589</v>
      </c>
      <c r="C764" s="85" t="s">
        <v>141</v>
      </c>
      <c r="D764" s="85" t="s">
        <v>1665</v>
      </c>
      <c r="E764" s="85" t="s">
        <v>1637</v>
      </c>
      <c r="F764" s="90"/>
      <c r="G764" s="90">
        <v>250</v>
      </c>
      <c r="H764" s="377">
        <v>250</v>
      </c>
      <c r="I764" s="379"/>
      <c r="J764" s="379">
        <f t="shared" si="47"/>
        <v>100</v>
      </c>
      <c r="K764" s="254"/>
    </row>
    <row r="765" spans="1:11" ht="15">
      <c r="A765" s="86" t="s">
        <v>909</v>
      </c>
      <c r="B765" s="85" t="s">
        <v>589</v>
      </c>
      <c r="C765" s="85" t="s">
        <v>141</v>
      </c>
      <c r="D765" s="85" t="s">
        <v>910</v>
      </c>
      <c r="E765" s="85"/>
      <c r="F765" s="243">
        <f>F766</f>
        <v>0</v>
      </c>
      <c r="G765" s="243">
        <f>G766</f>
        <v>9175.699999999999</v>
      </c>
      <c r="H765" s="243">
        <f>H766</f>
        <v>9153.3</v>
      </c>
      <c r="I765" s="379"/>
      <c r="J765" s="379">
        <f t="shared" si="47"/>
        <v>99.75587693581961</v>
      </c>
      <c r="K765" s="254"/>
    </row>
    <row r="766" spans="1:11" ht="24">
      <c r="A766" s="87" t="s">
        <v>1683</v>
      </c>
      <c r="B766" s="85" t="s">
        <v>589</v>
      </c>
      <c r="C766" s="85" t="s">
        <v>141</v>
      </c>
      <c r="D766" s="85" t="s">
        <v>1684</v>
      </c>
      <c r="E766" s="85" t="s">
        <v>1071</v>
      </c>
      <c r="F766" s="243">
        <f>F767+F768+F772</f>
        <v>0</v>
      </c>
      <c r="G766" s="243">
        <f>G767+G768+G772</f>
        <v>9175.699999999999</v>
      </c>
      <c r="H766" s="243">
        <f>H767+H768+H772</f>
        <v>9153.3</v>
      </c>
      <c r="I766" s="379"/>
      <c r="J766" s="379">
        <f t="shared" si="47"/>
        <v>99.75587693581961</v>
      </c>
      <c r="K766" s="254"/>
    </row>
    <row r="767" spans="1:11" ht="15">
      <c r="A767" s="87" t="s">
        <v>1729</v>
      </c>
      <c r="B767" s="85" t="s">
        <v>589</v>
      </c>
      <c r="C767" s="85" t="s">
        <v>141</v>
      </c>
      <c r="D767" s="85" t="s">
        <v>1684</v>
      </c>
      <c r="E767" s="85" t="s">
        <v>1837</v>
      </c>
      <c r="F767" s="248"/>
      <c r="G767" s="248">
        <v>142.3</v>
      </c>
      <c r="H767" s="254">
        <v>142.3</v>
      </c>
      <c r="I767" s="379"/>
      <c r="J767" s="379">
        <f t="shared" si="47"/>
        <v>100</v>
      </c>
      <c r="K767" s="254"/>
    </row>
    <row r="768" spans="1:11" ht="15">
      <c r="A768" s="87" t="s">
        <v>743</v>
      </c>
      <c r="B768" s="85" t="s">
        <v>589</v>
      </c>
      <c r="C768" s="85" t="s">
        <v>141</v>
      </c>
      <c r="D768" s="83" t="s">
        <v>1684</v>
      </c>
      <c r="E768" s="83" t="s">
        <v>744</v>
      </c>
      <c r="F768" s="243">
        <f>F769+F770</f>
        <v>0</v>
      </c>
      <c r="G768" s="243">
        <f>G769+G770</f>
        <v>8771.4</v>
      </c>
      <c r="H768" s="243">
        <f>H769+H770</f>
        <v>8749</v>
      </c>
      <c r="I768" s="379"/>
      <c r="J768" s="379">
        <f t="shared" si="47"/>
        <v>99.74462457532437</v>
      </c>
      <c r="K768" s="254"/>
    </row>
    <row r="769" spans="1:11" ht="15.75" hidden="1">
      <c r="A769" s="87" t="s">
        <v>745</v>
      </c>
      <c r="B769" s="85" t="s">
        <v>589</v>
      </c>
      <c r="C769" s="85" t="s">
        <v>141</v>
      </c>
      <c r="D769" s="83" t="s">
        <v>1684</v>
      </c>
      <c r="E769" s="83" t="s">
        <v>746</v>
      </c>
      <c r="F769" s="243"/>
      <c r="G769" s="243"/>
      <c r="H769" s="243"/>
      <c r="I769" s="379"/>
      <c r="J769" s="379"/>
      <c r="K769" s="254"/>
    </row>
    <row r="770" spans="1:11" ht="15">
      <c r="A770" s="87" t="s">
        <v>1640</v>
      </c>
      <c r="B770" s="85" t="s">
        <v>589</v>
      </c>
      <c r="C770" s="85" t="s">
        <v>141</v>
      </c>
      <c r="D770" s="83" t="s">
        <v>1684</v>
      </c>
      <c r="E770" s="83" t="s">
        <v>1637</v>
      </c>
      <c r="F770" s="243">
        <f>F771</f>
        <v>0</v>
      </c>
      <c r="G770" s="243">
        <f>G771</f>
        <v>8771.4</v>
      </c>
      <c r="H770" s="243">
        <f>H771</f>
        <v>8749</v>
      </c>
      <c r="I770" s="379"/>
      <c r="J770" s="379">
        <f t="shared" si="47"/>
        <v>99.74462457532437</v>
      </c>
      <c r="K770" s="254"/>
    </row>
    <row r="771" spans="1:11" ht="15">
      <c r="A771" s="87" t="s">
        <v>1685</v>
      </c>
      <c r="B771" s="85" t="s">
        <v>589</v>
      </c>
      <c r="C771" s="85" t="s">
        <v>141</v>
      </c>
      <c r="D771" s="83" t="s">
        <v>1684</v>
      </c>
      <c r="E771" s="83" t="s">
        <v>1637</v>
      </c>
      <c r="F771" s="90"/>
      <c r="G771" s="90">
        <f>6043.4+1000-262+122+200+1268+400</f>
        <v>8771.4</v>
      </c>
      <c r="H771" s="201">
        <v>8749</v>
      </c>
      <c r="I771" s="379"/>
      <c r="J771" s="379">
        <f t="shared" si="47"/>
        <v>99.74462457532437</v>
      </c>
      <c r="K771" s="254"/>
    </row>
    <row r="772" spans="1:11" ht="15">
      <c r="A772" s="87" t="s">
        <v>1686</v>
      </c>
      <c r="B772" s="85" t="s">
        <v>589</v>
      </c>
      <c r="C772" s="85" t="s">
        <v>141</v>
      </c>
      <c r="D772" s="83" t="s">
        <v>1684</v>
      </c>
      <c r="E772" s="83" t="s">
        <v>296</v>
      </c>
      <c r="F772" s="243">
        <f aca="true" t="shared" si="50" ref="F772:H773">F773</f>
        <v>0</v>
      </c>
      <c r="G772" s="243">
        <f t="shared" si="50"/>
        <v>262</v>
      </c>
      <c r="H772" s="243">
        <f t="shared" si="50"/>
        <v>262</v>
      </c>
      <c r="I772" s="379"/>
      <c r="J772" s="379">
        <f t="shared" si="47"/>
        <v>100</v>
      </c>
      <c r="K772" s="254"/>
    </row>
    <row r="773" spans="1:11" ht="15">
      <c r="A773" s="87" t="s">
        <v>305</v>
      </c>
      <c r="B773" s="85" t="s">
        <v>589</v>
      </c>
      <c r="C773" s="85" t="s">
        <v>141</v>
      </c>
      <c r="D773" s="83" t="s">
        <v>1684</v>
      </c>
      <c r="E773" s="83" t="s">
        <v>801</v>
      </c>
      <c r="F773" s="243">
        <f t="shared" si="50"/>
        <v>0</v>
      </c>
      <c r="G773" s="243">
        <f t="shared" si="50"/>
        <v>262</v>
      </c>
      <c r="H773" s="243">
        <f t="shared" si="50"/>
        <v>262</v>
      </c>
      <c r="I773" s="379"/>
      <c r="J773" s="379">
        <f t="shared" si="47"/>
        <v>100</v>
      </c>
      <c r="K773" s="254"/>
    </row>
    <row r="774" spans="1:11" ht="15">
      <c r="A774" s="87" t="s">
        <v>1687</v>
      </c>
      <c r="B774" s="85" t="s">
        <v>589</v>
      </c>
      <c r="C774" s="85" t="s">
        <v>141</v>
      </c>
      <c r="D774" s="83" t="s">
        <v>1684</v>
      </c>
      <c r="E774" s="83" t="s">
        <v>801</v>
      </c>
      <c r="F774" s="90"/>
      <c r="G774" s="90">
        <v>262</v>
      </c>
      <c r="H774" s="377">
        <v>262</v>
      </c>
      <c r="I774" s="379"/>
      <c r="J774" s="379">
        <f t="shared" si="47"/>
        <v>100</v>
      </c>
      <c r="K774" s="254"/>
    </row>
    <row r="775" spans="1:11" ht="15">
      <c r="A775" s="91" t="s">
        <v>1688</v>
      </c>
      <c r="B775" s="85" t="s">
        <v>589</v>
      </c>
      <c r="C775" s="85" t="s">
        <v>1603</v>
      </c>
      <c r="D775" s="85"/>
      <c r="E775" s="85"/>
      <c r="F775" s="243">
        <f>F776+F784+F788+F795</f>
        <v>84227.6</v>
      </c>
      <c r="G775" s="243">
        <f>G776+G784+G788+G795</f>
        <v>95513</v>
      </c>
      <c r="H775" s="243">
        <f>H776+H784+H788+H795</f>
        <v>94307.9</v>
      </c>
      <c r="I775" s="379">
        <f>H775/F775*100</f>
        <v>111.96792975224272</v>
      </c>
      <c r="J775" s="379">
        <f t="shared" si="47"/>
        <v>98.7382869347628</v>
      </c>
      <c r="K775" s="254"/>
    </row>
    <row r="776" spans="1:11" ht="24">
      <c r="A776" s="93" t="s">
        <v>143</v>
      </c>
      <c r="B776" s="85" t="s">
        <v>589</v>
      </c>
      <c r="C776" s="85" t="s">
        <v>1603</v>
      </c>
      <c r="D776" s="85" t="s">
        <v>144</v>
      </c>
      <c r="E776" s="85"/>
      <c r="F776" s="243">
        <f>F777+F781</f>
        <v>14824.1</v>
      </c>
      <c r="G776" s="243">
        <f>G777+G781</f>
        <v>14169.6</v>
      </c>
      <c r="H776" s="243">
        <f>H777+H781</f>
        <v>13027.6</v>
      </c>
      <c r="I776" s="379">
        <f>H776/F776*100</f>
        <v>87.88122044508604</v>
      </c>
      <c r="J776" s="379">
        <f t="shared" si="47"/>
        <v>91.94049232158989</v>
      </c>
      <c r="K776" s="254"/>
    </row>
    <row r="777" spans="1:11" ht="15">
      <c r="A777" s="87" t="s">
        <v>1599</v>
      </c>
      <c r="B777" s="85" t="s">
        <v>589</v>
      </c>
      <c r="C777" s="85" t="s">
        <v>1603</v>
      </c>
      <c r="D777" s="85" t="s">
        <v>1884</v>
      </c>
      <c r="E777" s="85" t="s">
        <v>1071</v>
      </c>
      <c r="F777" s="243">
        <f>F778+F779+F780</f>
        <v>14688.1</v>
      </c>
      <c r="G777" s="243">
        <f>G778+G779+G780</f>
        <v>14033.6</v>
      </c>
      <c r="H777" s="243">
        <f>H778+H779+H780</f>
        <v>12931.4</v>
      </c>
      <c r="I777" s="379">
        <f>H777/F777*100</f>
        <v>88.03997794132665</v>
      </c>
      <c r="J777" s="379">
        <f t="shared" si="47"/>
        <v>92.14599247520236</v>
      </c>
      <c r="K777" s="254"/>
    </row>
    <row r="778" spans="1:11" ht="15">
      <c r="A778" s="87" t="s">
        <v>1832</v>
      </c>
      <c r="B778" s="85" t="s">
        <v>589</v>
      </c>
      <c r="C778" s="85" t="s">
        <v>1603</v>
      </c>
      <c r="D778" s="85" t="s">
        <v>1884</v>
      </c>
      <c r="E778" s="85" t="s">
        <v>1833</v>
      </c>
      <c r="F778" s="90"/>
      <c r="G778" s="90">
        <f>13532.5-937-283-100</f>
        <v>12212.5</v>
      </c>
      <c r="H778" s="201">
        <v>11199.4</v>
      </c>
      <c r="I778" s="379"/>
      <c r="J778" s="379">
        <f t="shared" si="47"/>
        <v>91.70440122824974</v>
      </c>
      <c r="K778" s="254"/>
    </row>
    <row r="779" spans="1:11" ht="15">
      <c r="A779" s="87" t="s">
        <v>1729</v>
      </c>
      <c r="B779" s="85" t="s">
        <v>589</v>
      </c>
      <c r="C779" s="85" t="s">
        <v>1603</v>
      </c>
      <c r="D779" s="85" t="s">
        <v>1884</v>
      </c>
      <c r="E779" s="85" t="s">
        <v>1837</v>
      </c>
      <c r="F779" s="90"/>
      <c r="G779" s="90">
        <f>1371.1+350+100</f>
        <v>1821.1</v>
      </c>
      <c r="H779" s="201">
        <v>1732</v>
      </c>
      <c r="I779" s="379"/>
      <c r="J779" s="379">
        <f t="shared" si="47"/>
        <v>95.10735269891825</v>
      </c>
      <c r="K779" s="254"/>
    </row>
    <row r="780" spans="1:11" ht="15">
      <c r="A780" s="376" t="s">
        <v>171</v>
      </c>
      <c r="B780" s="85" t="s">
        <v>589</v>
      </c>
      <c r="C780" s="85" t="s">
        <v>1603</v>
      </c>
      <c r="D780" s="85" t="s">
        <v>1884</v>
      </c>
      <c r="E780" s="85" t="s">
        <v>436</v>
      </c>
      <c r="F780" s="90">
        <v>14688.1</v>
      </c>
      <c r="G780" s="90"/>
      <c r="H780" s="201"/>
      <c r="I780" s="379">
        <f>H780/F780*100</f>
        <v>0</v>
      </c>
      <c r="J780" s="379"/>
      <c r="K780" s="254"/>
    </row>
    <row r="781" spans="1:11" ht="15">
      <c r="A781" s="349" t="s">
        <v>1840</v>
      </c>
      <c r="B781" s="85" t="s">
        <v>589</v>
      </c>
      <c r="C781" s="85" t="s">
        <v>1603</v>
      </c>
      <c r="D781" s="85" t="s">
        <v>1841</v>
      </c>
      <c r="E781" s="85" t="s">
        <v>1071</v>
      </c>
      <c r="F781" s="243">
        <f>F782+F783</f>
        <v>136</v>
      </c>
      <c r="G781" s="243">
        <f>G782+G783</f>
        <v>136</v>
      </c>
      <c r="H781" s="243">
        <f>H782+H783</f>
        <v>96.2</v>
      </c>
      <c r="I781" s="379">
        <f>H781/F781*100</f>
        <v>70.73529411764706</v>
      </c>
      <c r="J781" s="379">
        <f t="shared" si="47"/>
        <v>70.73529411764706</v>
      </c>
      <c r="K781" s="254"/>
    </row>
    <row r="782" spans="1:11" ht="15">
      <c r="A782" s="376" t="s">
        <v>171</v>
      </c>
      <c r="B782" s="85" t="s">
        <v>589</v>
      </c>
      <c r="C782" s="85" t="s">
        <v>1603</v>
      </c>
      <c r="D782" s="85" t="s">
        <v>1841</v>
      </c>
      <c r="E782" s="85" t="s">
        <v>436</v>
      </c>
      <c r="F782" s="90">
        <v>136</v>
      </c>
      <c r="G782" s="243"/>
      <c r="H782" s="201"/>
      <c r="I782" s="379">
        <f aca="true" t="shared" si="51" ref="I782:I839">H782/F782*100</f>
        <v>0</v>
      </c>
      <c r="J782" s="379"/>
      <c r="K782" s="254"/>
    </row>
    <row r="783" spans="1:11" ht="15">
      <c r="A783" s="349" t="s">
        <v>1840</v>
      </c>
      <c r="B783" s="85" t="s">
        <v>589</v>
      </c>
      <c r="C783" s="85" t="s">
        <v>1603</v>
      </c>
      <c r="D783" s="85" t="s">
        <v>1841</v>
      </c>
      <c r="E783" s="85" t="s">
        <v>1842</v>
      </c>
      <c r="F783" s="90"/>
      <c r="G783" s="90">
        <v>136</v>
      </c>
      <c r="H783" s="201">
        <v>96.2</v>
      </c>
      <c r="I783" s="379"/>
      <c r="J783" s="379">
        <f aca="true" t="shared" si="52" ref="J783:J845">H783/G783*100</f>
        <v>70.73529411764706</v>
      </c>
      <c r="K783" s="254"/>
    </row>
    <row r="784" spans="1:11" ht="15">
      <c r="A784" s="94" t="s">
        <v>1382</v>
      </c>
      <c r="B784" s="85" t="s">
        <v>589</v>
      </c>
      <c r="C784" s="85" t="s">
        <v>1603</v>
      </c>
      <c r="D784" s="85" t="s">
        <v>1383</v>
      </c>
      <c r="E784" s="85"/>
      <c r="F784" s="243">
        <f>SUM(F785:F785)</f>
        <v>335</v>
      </c>
      <c r="G784" s="243">
        <f>SUM(G785:G785)</f>
        <v>335</v>
      </c>
      <c r="H784" s="243">
        <f>SUM(H785:H785)</f>
        <v>327.1</v>
      </c>
      <c r="I784" s="379">
        <f t="shared" si="51"/>
        <v>97.64179104477613</v>
      </c>
      <c r="J784" s="379">
        <f t="shared" si="52"/>
        <v>97.64179104477613</v>
      </c>
      <c r="K784" s="254"/>
    </row>
    <row r="785" spans="1:11" ht="15">
      <c r="A785" s="87" t="s">
        <v>41</v>
      </c>
      <c r="B785" s="85" t="s">
        <v>589</v>
      </c>
      <c r="C785" s="85" t="s">
        <v>1603</v>
      </c>
      <c r="D785" s="85" t="s">
        <v>42</v>
      </c>
      <c r="E785" s="85" t="s">
        <v>1071</v>
      </c>
      <c r="F785" s="243">
        <f>F786</f>
        <v>335</v>
      </c>
      <c r="G785" s="243">
        <f>G786+G787</f>
        <v>335</v>
      </c>
      <c r="H785" s="243">
        <f>H786+H787</f>
        <v>327.1</v>
      </c>
      <c r="I785" s="379">
        <f t="shared" si="51"/>
        <v>97.64179104477613</v>
      </c>
      <c r="J785" s="379">
        <f t="shared" si="52"/>
        <v>97.64179104477613</v>
      </c>
      <c r="K785" s="254"/>
    </row>
    <row r="786" spans="1:11" ht="15">
      <c r="A786" s="87" t="s">
        <v>1242</v>
      </c>
      <c r="B786" s="85" t="s">
        <v>589</v>
      </c>
      <c r="C786" s="85" t="s">
        <v>1603</v>
      </c>
      <c r="D786" s="85" t="s">
        <v>42</v>
      </c>
      <c r="E786" s="85" t="s">
        <v>1243</v>
      </c>
      <c r="F786" s="90">
        <v>335</v>
      </c>
      <c r="G786" s="90"/>
      <c r="H786" s="201"/>
      <c r="I786" s="379">
        <f t="shared" si="51"/>
        <v>0</v>
      </c>
      <c r="J786" s="379"/>
      <c r="K786" s="254"/>
    </row>
    <row r="787" spans="1:11" ht="15">
      <c r="A787" s="87" t="s">
        <v>1729</v>
      </c>
      <c r="B787" s="85" t="s">
        <v>589</v>
      </c>
      <c r="C787" s="85" t="s">
        <v>1603</v>
      </c>
      <c r="D787" s="85" t="s">
        <v>42</v>
      </c>
      <c r="E787" s="85" t="s">
        <v>1837</v>
      </c>
      <c r="F787" s="90"/>
      <c r="G787" s="90">
        <v>335</v>
      </c>
      <c r="H787" s="201">
        <v>327.1</v>
      </c>
      <c r="I787" s="379"/>
      <c r="J787" s="379">
        <f t="shared" si="52"/>
        <v>97.64179104477613</v>
      </c>
      <c r="K787" s="254"/>
    </row>
    <row r="788" spans="1:11" ht="36">
      <c r="A788" s="94" t="s">
        <v>1366</v>
      </c>
      <c r="B788" s="85" t="s">
        <v>589</v>
      </c>
      <c r="C788" s="85" t="s">
        <v>1603</v>
      </c>
      <c r="D788" s="85" t="s">
        <v>1367</v>
      </c>
      <c r="E788" s="85"/>
      <c r="F788" s="243">
        <f aca="true" t="shared" si="53" ref="F788:H789">F789</f>
        <v>69068.5</v>
      </c>
      <c r="G788" s="243">
        <f t="shared" si="53"/>
        <v>81008.4</v>
      </c>
      <c r="H788" s="243">
        <f t="shared" si="53"/>
        <v>80953.2</v>
      </c>
      <c r="I788" s="379">
        <f t="shared" si="51"/>
        <v>117.2071204673621</v>
      </c>
      <c r="J788" s="379">
        <f t="shared" si="52"/>
        <v>99.9318589183344</v>
      </c>
      <c r="K788" s="254"/>
    </row>
    <row r="789" spans="1:11" ht="15">
      <c r="A789" s="87" t="s">
        <v>661</v>
      </c>
      <c r="B789" s="85" t="s">
        <v>589</v>
      </c>
      <c r="C789" s="85" t="s">
        <v>1603</v>
      </c>
      <c r="D789" s="85" t="s">
        <v>1416</v>
      </c>
      <c r="E789" s="85" t="s">
        <v>1071</v>
      </c>
      <c r="F789" s="243">
        <f t="shared" si="53"/>
        <v>69068.5</v>
      </c>
      <c r="G789" s="243">
        <f t="shared" si="53"/>
        <v>81008.4</v>
      </c>
      <c r="H789" s="243">
        <f t="shared" si="53"/>
        <v>80953.2</v>
      </c>
      <c r="I789" s="379">
        <f t="shared" si="51"/>
        <v>117.2071204673621</v>
      </c>
      <c r="J789" s="379">
        <f t="shared" si="52"/>
        <v>99.9318589183344</v>
      </c>
      <c r="K789" s="254"/>
    </row>
    <row r="790" spans="1:11" ht="15">
      <c r="A790" s="87" t="s">
        <v>743</v>
      </c>
      <c r="B790" s="85" t="s">
        <v>589</v>
      </c>
      <c r="C790" s="85" t="s">
        <v>1603</v>
      </c>
      <c r="D790" s="85" t="s">
        <v>1416</v>
      </c>
      <c r="E790" s="85" t="s">
        <v>744</v>
      </c>
      <c r="F790" s="243">
        <f>F791+F792</f>
        <v>69068.5</v>
      </c>
      <c r="G790" s="243">
        <f>G791+G792</f>
        <v>81008.4</v>
      </c>
      <c r="H790" s="243">
        <f>H791+H792</f>
        <v>80953.2</v>
      </c>
      <c r="I790" s="379">
        <f t="shared" si="51"/>
        <v>117.2071204673621</v>
      </c>
      <c r="J790" s="379">
        <f t="shared" si="52"/>
        <v>99.9318589183344</v>
      </c>
      <c r="K790" s="254"/>
    </row>
    <row r="791" spans="1:11" ht="24">
      <c r="A791" s="87" t="s">
        <v>745</v>
      </c>
      <c r="B791" s="85" t="s">
        <v>589</v>
      </c>
      <c r="C791" s="85" t="s">
        <v>1603</v>
      </c>
      <c r="D791" s="85" t="s">
        <v>1416</v>
      </c>
      <c r="E791" s="85" t="s">
        <v>746</v>
      </c>
      <c r="F791" s="90">
        <v>69068.5</v>
      </c>
      <c r="G791" s="90">
        <f>71245.4+800+350+1913-200</f>
        <v>74108.4</v>
      </c>
      <c r="H791" s="201">
        <v>74058.3</v>
      </c>
      <c r="I791" s="379">
        <f t="shared" si="51"/>
        <v>107.2244221316519</v>
      </c>
      <c r="J791" s="379">
        <f t="shared" si="52"/>
        <v>99.93239632754182</v>
      </c>
      <c r="K791" s="254"/>
    </row>
    <row r="792" spans="1:11" ht="15">
      <c r="A792" s="87" t="s">
        <v>1689</v>
      </c>
      <c r="B792" s="85" t="s">
        <v>589</v>
      </c>
      <c r="C792" s="85" t="s">
        <v>1603</v>
      </c>
      <c r="D792" s="85" t="s">
        <v>1416</v>
      </c>
      <c r="E792" s="85" t="s">
        <v>1637</v>
      </c>
      <c r="F792" s="243">
        <f>F793+F794</f>
        <v>0</v>
      </c>
      <c r="G792" s="243">
        <f>G793+G794</f>
        <v>6900</v>
      </c>
      <c r="H792" s="243">
        <f>H793+H794</f>
        <v>6894.9</v>
      </c>
      <c r="I792" s="379"/>
      <c r="J792" s="379">
        <f t="shared" si="52"/>
        <v>99.92608695652173</v>
      </c>
      <c r="K792" s="254"/>
    </row>
    <row r="793" spans="1:11" ht="24">
      <c r="A793" s="87" t="s">
        <v>1690</v>
      </c>
      <c r="B793" s="85" t="s">
        <v>589</v>
      </c>
      <c r="C793" s="85" t="s">
        <v>1603</v>
      </c>
      <c r="D793" s="85" t="s">
        <v>1691</v>
      </c>
      <c r="E793" s="85" t="s">
        <v>1637</v>
      </c>
      <c r="F793" s="90"/>
      <c r="G793" s="90">
        <f>135+1010+1845+1800+1845</f>
        <v>6635</v>
      </c>
      <c r="H793" s="201">
        <v>6629.9</v>
      </c>
      <c r="I793" s="379"/>
      <c r="J793" s="379">
        <f t="shared" si="52"/>
        <v>99.92313489073096</v>
      </c>
      <c r="K793" s="254"/>
    </row>
    <row r="794" spans="1:11" ht="15">
      <c r="A794" s="87" t="s">
        <v>1589</v>
      </c>
      <c r="B794" s="85" t="s">
        <v>589</v>
      </c>
      <c r="C794" s="85" t="s">
        <v>1603</v>
      </c>
      <c r="D794" s="85" t="s">
        <v>1691</v>
      </c>
      <c r="E794" s="85" t="s">
        <v>1637</v>
      </c>
      <c r="F794" s="90"/>
      <c r="G794" s="90">
        <v>265</v>
      </c>
      <c r="H794" s="201">
        <v>265</v>
      </c>
      <c r="I794" s="379"/>
      <c r="J794" s="379">
        <f t="shared" si="52"/>
        <v>100</v>
      </c>
      <c r="K794" s="254"/>
    </row>
    <row r="795" spans="1:11" ht="15.75" hidden="1">
      <c r="A795" s="86" t="s">
        <v>909</v>
      </c>
      <c r="B795" s="85" t="s">
        <v>589</v>
      </c>
      <c r="C795" s="85" t="s">
        <v>583</v>
      </c>
      <c r="D795" s="85" t="s">
        <v>910</v>
      </c>
      <c r="E795" s="85"/>
      <c r="F795" s="243">
        <f>F796</f>
        <v>0</v>
      </c>
      <c r="G795" s="243">
        <f>G796</f>
        <v>0</v>
      </c>
      <c r="H795" s="201"/>
      <c r="I795" s="379"/>
      <c r="J795" s="379"/>
      <c r="K795" s="254"/>
    </row>
    <row r="796" spans="1:11" ht="24" hidden="1">
      <c r="A796" s="87" t="s">
        <v>44</v>
      </c>
      <c r="B796" s="85" t="s">
        <v>589</v>
      </c>
      <c r="C796" s="85" t="s">
        <v>583</v>
      </c>
      <c r="D796" s="85" t="s">
        <v>910</v>
      </c>
      <c r="E796" s="85" t="s">
        <v>45</v>
      </c>
      <c r="F796" s="90"/>
      <c r="G796" s="90"/>
      <c r="H796" s="201"/>
      <c r="I796" s="379"/>
      <c r="J796" s="379"/>
      <c r="K796" s="254"/>
    </row>
    <row r="797" spans="1:11" ht="15.75">
      <c r="A797" s="175" t="s">
        <v>46</v>
      </c>
      <c r="B797" s="103" t="s">
        <v>1788</v>
      </c>
      <c r="C797" s="103"/>
      <c r="D797" s="104"/>
      <c r="E797" s="104"/>
      <c r="F797" s="242">
        <f>F798+F838+F885+F897+F925+F941</f>
        <v>539834.6</v>
      </c>
      <c r="G797" s="242">
        <f>G798+G838+G885+G897+G925+G941</f>
        <v>665349.7</v>
      </c>
      <c r="H797" s="242">
        <f>H798+H838+H885+H897+H925+H941</f>
        <v>561452.2999999999</v>
      </c>
      <c r="I797" s="420">
        <f t="shared" si="51"/>
        <v>104.00450434262642</v>
      </c>
      <c r="J797" s="420">
        <f t="shared" si="52"/>
        <v>84.38454244437172</v>
      </c>
      <c r="K797" s="254"/>
    </row>
    <row r="798" spans="1:11" ht="15">
      <c r="A798" s="91" t="s">
        <v>967</v>
      </c>
      <c r="B798" s="85" t="s">
        <v>1788</v>
      </c>
      <c r="C798" s="85" t="s">
        <v>141</v>
      </c>
      <c r="D798" s="89"/>
      <c r="E798" s="89"/>
      <c r="F798" s="243">
        <f>F799+F807+F826+F828</f>
        <v>211678.2</v>
      </c>
      <c r="G798" s="243">
        <f>G799+G807+G826+G828</f>
        <v>252552.90000000002</v>
      </c>
      <c r="H798" s="243">
        <f>H799+H807+H826+H828</f>
        <v>194803.2</v>
      </c>
      <c r="I798" s="379">
        <f t="shared" si="51"/>
        <v>92.02799343531832</v>
      </c>
      <c r="J798" s="379">
        <f t="shared" si="52"/>
        <v>77.13362230249584</v>
      </c>
      <c r="K798" s="254"/>
    </row>
    <row r="799" spans="1:11" ht="24.75" hidden="1">
      <c r="A799" s="107" t="s">
        <v>1393</v>
      </c>
      <c r="B799" s="85" t="s">
        <v>1788</v>
      </c>
      <c r="C799" s="85" t="s">
        <v>141</v>
      </c>
      <c r="D799" s="85" t="s">
        <v>936</v>
      </c>
      <c r="E799" s="85"/>
      <c r="F799" s="243">
        <f aca="true" t="shared" si="54" ref="F799:H800">F800</f>
        <v>0</v>
      </c>
      <c r="G799" s="243">
        <f t="shared" si="54"/>
        <v>0</v>
      </c>
      <c r="H799" s="243">
        <f t="shared" si="54"/>
        <v>0</v>
      </c>
      <c r="I799" s="379" t="e">
        <f t="shared" si="51"/>
        <v>#DIV/0!</v>
      </c>
      <c r="J799" s="379" t="e">
        <f t="shared" si="52"/>
        <v>#DIV/0!</v>
      </c>
      <c r="K799" s="254"/>
    </row>
    <row r="800" spans="1:11" ht="24.75" hidden="1">
      <c r="A800" s="108" t="s">
        <v>47</v>
      </c>
      <c r="B800" s="85" t="s">
        <v>1788</v>
      </c>
      <c r="C800" s="85" t="s">
        <v>141</v>
      </c>
      <c r="D800" s="85" t="s">
        <v>1049</v>
      </c>
      <c r="E800" s="85" t="s">
        <v>1071</v>
      </c>
      <c r="F800" s="243">
        <f t="shared" si="54"/>
        <v>0</v>
      </c>
      <c r="G800" s="243">
        <f t="shared" si="54"/>
        <v>0</v>
      </c>
      <c r="H800" s="243">
        <f t="shared" si="54"/>
        <v>0</v>
      </c>
      <c r="I800" s="379" t="e">
        <f t="shared" si="51"/>
        <v>#DIV/0!</v>
      </c>
      <c r="J800" s="379" t="e">
        <f t="shared" si="52"/>
        <v>#DIV/0!</v>
      </c>
      <c r="K800" s="254"/>
    </row>
    <row r="801" spans="1:11" ht="15.75" hidden="1">
      <c r="A801" s="108" t="s">
        <v>48</v>
      </c>
      <c r="B801" s="85" t="s">
        <v>1788</v>
      </c>
      <c r="C801" s="85" t="s">
        <v>141</v>
      </c>
      <c r="D801" s="85" t="s">
        <v>1049</v>
      </c>
      <c r="E801" s="85" t="s">
        <v>1879</v>
      </c>
      <c r="F801" s="243">
        <f>F802+F803</f>
        <v>0</v>
      </c>
      <c r="G801" s="243">
        <f>G802+G803</f>
        <v>0</v>
      </c>
      <c r="H801" s="243">
        <f>H802+H803</f>
        <v>0</v>
      </c>
      <c r="I801" s="379" t="e">
        <f t="shared" si="51"/>
        <v>#DIV/0!</v>
      </c>
      <c r="J801" s="379" t="e">
        <f t="shared" si="52"/>
        <v>#DIV/0!</v>
      </c>
      <c r="K801" s="254"/>
    </row>
    <row r="802" spans="1:11" ht="15.75" hidden="1">
      <c r="A802" s="108" t="s">
        <v>49</v>
      </c>
      <c r="B802" s="85" t="s">
        <v>1788</v>
      </c>
      <c r="C802" s="85" t="s">
        <v>141</v>
      </c>
      <c r="D802" s="85" t="s">
        <v>1049</v>
      </c>
      <c r="E802" s="85" t="s">
        <v>1879</v>
      </c>
      <c r="F802" s="249"/>
      <c r="G802" s="249"/>
      <c r="H802" s="249"/>
      <c r="I802" s="379" t="e">
        <f t="shared" si="51"/>
        <v>#DIV/0!</v>
      </c>
      <c r="J802" s="379" t="e">
        <f t="shared" si="52"/>
        <v>#DIV/0!</v>
      </c>
      <c r="K802" s="254"/>
    </row>
    <row r="803" spans="1:11" ht="24.75" hidden="1">
      <c r="A803" s="108" t="s">
        <v>50</v>
      </c>
      <c r="B803" s="85" t="s">
        <v>1788</v>
      </c>
      <c r="C803" s="85" t="s">
        <v>141</v>
      </c>
      <c r="D803" s="85" t="s">
        <v>1049</v>
      </c>
      <c r="E803" s="85" t="s">
        <v>1879</v>
      </c>
      <c r="F803" s="249"/>
      <c r="G803" s="249"/>
      <c r="H803" s="249"/>
      <c r="I803" s="379" t="e">
        <f t="shared" si="51"/>
        <v>#DIV/0!</v>
      </c>
      <c r="J803" s="379" t="e">
        <f t="shared" si="52"/>
        <v>#DIV/0!</v>
      </c>
      <c r="K803" s="254"/>
    </row>
    <row r="804" spans="1:11" ht="24.75" hidden="1">
      <c r="A804" s="94" t="s">
        <v>51</v>
      </c>
      <c r="B804" s="85" t="s">
        <v>1788</v>
      </c>
      <c r="C804" s="85" t="s">
        <v>141</v>
      </c>
      <c r="D804" s="85" t="s">
        <v>52</v>
      </c>
      <c r="E804" s="89"/>
      <c r="F804" s="243">
        <f aca="true" t="shared" si="55" ref="F804:H805">F805</f>
        <v>0</v>
      </c>
      <c r="G804" s="243">
        <f t="shared" si="55"/>
        <v>0</v>
      </c>
      <c r="H804" s="243">
        <f t="shared" si="55"/>
        <v>1</v>
      </c>
      <c r="I804" s="379" t="e">
        <f t="shared" si="51"/>
        <v>#DIV/0!</v>
      </c>
      <c r="J804" s="379" t="e">
        <f t="shared" si="52"/>
        <v>#DIV/0!</v>
      </c>
      <c r="K804" s="254"/>
    </row>
    <row r="805" spans="1:11" ht="36" hidden="1">
      <c r="A805" s="87" t="s">
        <v>53</v>
      </c>
      <c r="B805" s="85" t="s">
        <v>1788</v>
      </c>
      <c r="C805" s="85" t="s">
        <v>141</v>
      </c>
      <c r="D805" s="85" t="s">
        <v>54</v>
      </c>
      <c r="E805" s="85" t="s">
        <v>1071</v>
      </c>
      <c r="F805" s="243">
        <f t="shared" si="55"/>
        <v>0</v>
      </c>
      <c r="G805" s="243">
        <f t="shared" si="55"/>
        <v>0</v>
      </c>
      <c r="H805" s="243">
        <f t="shared" si="55"/>
        <v>1</v>
      </c>
      <c r="I805" s="379" t="e">
        <f t="shared" si="51"/>
        <v>#DIV/0!</v>
      </c>
      <c r="J805" s="379" t="e">
        <f t="shared" si="52"/>
        <v>#DIV/0!</v>
      </c>
      <c r="K805" s="254"/>
    </row>
    <row r="806" spans="1:11" ht="15.75" hidden="1">
      <c r="A806" s="87" t="s">
        <v>1758</v>
      </c>
      <c r="B806" s="85" t="s">
        <v>1788</v>
      </c>
      <c r="C806" s="85" t="s">
        <v>141</v>
      </c>
      <c r="D806" s="85" t="s">
        <v>54</v>
      </c>
      <c r="E806" s="85" t="s">
        <v>1878</v>
      </c>
      <c r="F806" s="90">
        <v>0</v>
      </c>
      <c r="G806" s="90">
        <v>0</v>
      </c>
      <c r="H806" s="90">
        <v>1</v>
      </c>
      <c r="I806" s="379" t="e">
        <f t="shared" si="51"/>
        <v>#DIV/0!</v>
      </c>
      <c r="J806" s="379" t="e">
        <f t="shared" si="52"/>
        <v>#DIV/0!</v>
      </c>
      <c r="K806" s="254"/>
    </row>
    <row r="807" spans="1:11" ht="15">
      <c r="A807" s="93" t="s">
        <v>55</v>
      </c>
      <c r="B807" s="85" t="s">
        <v>1788</v>
      </c>
      <c r="C807" s="85" t="s">
        <v>141</v>
      </c>
      <c r="D807" s="85" t="s">
        <v>56</v>
      </c>
      <c r="E807" s="89"/>
      <c r="F807" s="243">
        <f>F808+F810+F812+F814+F816</f>
        <v>187918.2</v>
      </c>
      <c r="G807" s="243">
        <f>G808+G810+G812+G814+G816</f>
        <v>146351.2</v>
      </c>
      <c r="H807" s="243">
        <f>H808+H810+H812+H814+H816</f>
        <v>102926.9</v>
      </c>
      <c r="I807" s="379">
        <f t="shared" si="51"/>
        <v>54.77218279017146</v>
      </c>
      <c r="J807" s="379">
        <f t="shared" si="52"/>
        <v>70.32870246366274</v>
      </c>
      <c r="K807" s="254"/>
    </row>
    <row r="808" spans="1:11" ht="24">
      <c r="A808" s="92" t="s">
        <v>1692</v>
      </c>
      <c r="B808" s="85" t="s">
        <v>1788</v>
      </c>
      <c r="C808" s="85" t="s">
        <v>141</v>
      </c>
      <c r="D808" s="85" t="s">
        <v>1693</v>
      </c>
      <c r="E808" s="85" t="s">
        <v>1071</v>
      </c>
      <c r="F808" s="243">
        <f>F809</f>
        <v>0</v>
      </c>
      <c r="G808" s="243">
        <f>G809</f>
        <v>54335</v>
      </c>
      <c r="H808" s="243">
        <f>H809</f>
        <v>44821.8</v>
      </c>
      <c r="I808" s="379"/>
      <c r="J808" s="379">
        <f t="shared" si="52"/>
        <v>82.49158001288305</v>
      </c>
      <c r="K808" s="254"/>
    </row>
    <row r="809" spans="1:11" ht="15">
      <c r="A809" s="87" t="s">
        <v>819</v>
      </c>
      <c r="B809" s="85" t="s">
        <v>1788</v>
      </c>
      <c r="C809" s="85" t="s">
        <v>141</v>
      </c>
      <c r="D809" s="85" t="s">
        <v>1693</v>
      </c>
      <c r="E809" s="85" t="s">
        <v>744</v>
      </c>
      <c r="F809" s="90"/>
      <c r="G809" s="90">
        <v>54335</v>
      </c>
      <c r="H809" s="201">
        <v>44821.8</v>
      </c>
      <c r="I809" s="379"/>
      <c r="J809" s="379">
        <f t="shared" si="52"/>
        <v>82.49158001288305</v>
      </c>
      <c r="K809" s="254"/>
    </row>
    <row r="810" spans="1:11" ht="60">
      <c r="A810" s="87" t="s">
        <v>369</v>
      </c>
      <c r="B810" s="85" t="s">
        <v>1788</v>
      </c>
      <c r="C810" s="85" t="s">
        <v>141</v>
      </c>
      <c r="D810" s="85" t="s">
        <v>370</v>
      </c>
      <c r="E810" s="85" t="s">
        <v>1071</v>
      </c>
      <c r="F810" s="243">
        <f>F811</f>
        <v>0</v>
      </c>
      <c r="G810" s="243">
        <f>G811</f>
        <v>826.5</v>
      </c>
      <c r="H810" s="243">
        <f>H811</f>
        <v>56.1</v>
      </c>
      <c r="I810" s="379"/>
      <c r="J810" s="379">
        <f t="shared" si="52"/>
        <v>6.787658802177858</v>
      </c>
      <c r="K810" s="254"/>
    </row>
    <row r="811" spans="1:11" ht="15">
      <c r="A811" s="87" t="s">
        <v>819</v>
      </c>
      <c r="B811" s="85" t="s">
        <v>1788</v>
      </c>
      <c r="C811" s="85" t="s">
        <v>141</v>
      </c>
      <c r="D811" s="85" t="s">
        <v>370</v>
      </c>
      <c r="E811" s="85" t="s">
        <v>744</v>
      </c>
      <c r="F811" s="90"/>
      <c r="G811" s="90">
        <v>826.5</v>
      </c>
      <c r="H811" s="201">
        <v>56.1</v>
      </c>
      <c r="I811" s="379"/>
      <c r="J811" s="379">
        <f t="shared" si="52"/>
        <v>6.787658802177858</v>
      </c>
      <c r="K811" s="254"/>
    </row>
    <row r="812" spans="1:11" ht="36">
      <c r="A812" s="92" t="s">
        <v>371</v>
      </c>
      <c r="B812" s="85" t="s">
        <v>1788</v>
      </c>
      <c r="C812" s="85" t="s">
        <v>141</v>
      </c>
      <c r="D812" s="85" t="s">
        <v>372</v>
      </c>
      <c r="E812" s="85" t="s">
        <v>1071</v>
      </c>
      <c r="F812" s="243">
        <f>F813</f>
        <v>0</v>
      </c>
      <c r="G812" s="243">
        <f>G813</f>
        <v>76242.2</v>
      </c>
      <c r="H812" s="243">
        <f>H813</f>
        <v>43918.1</v>
      </c>
      <c r="I812" s="379"/>
      <c r="J812" s="379">
        <f t="shared" si="52"/>
        <v>57.60340074132173</v>
      </c>
      <c r="K812" s="254"/>
    </row>
    <row r="813" spans="1:11" ht="15">
      <c r="A813" s="87" t="s">
        <v>819</v>
      </c>
      <c r="B813" s="85" t="s">
        <v>1788</v>
      </c>
      <c r="C813" s="85" t="s">
        <v>141</v>
      </c>
      <c r="D813" s="85" t="s">
        <v>372</v>
      </c>
      <c r="E813" s="85" t="s">
        <v>744</v>
      </c>
      <c r="F813" s="90"/>
      <c r="G813" s="90">
        <v>76242.2</v>
      </c>
      <c r="H813" s="201">
        <v>43918.1</v>
      </c>
      <c r="I813" s="379"/>
      <c r="J813" s="379">
        <f t="shared" si="52"/>
        <v>57.60340074132173</v>
      </c>
      <c r="K813" s="254"/>
    </row>
    <row r="814" spans="1:11" ht="24">
      <c r="A814" s="87" t="s">
        <v>373</v>
      </c>
      <c r="B814" s="85" t="s">
        <v>1788</v>
      </c>
      <c r="C814" s="85" t="s">
        <v>141</v>
      </c>
      <c r="D814" s="85" t="s">
        <v>374</v>
      </c>
      <c r="E814" s="85" t="s">
        <v>1071</v>
      </c>
      <c r="F814" s="243">
        <f>F815</f>
        <v>0</v>
      </c>
      <c r="G814" s="243">
        <f>G815</f>
        <v>2787.8</v>
      </c>
      <c r="H814" s="243">
        <f>H815</f>
        <v>2136.2</v>
      </c>
      <c r="I814" s="379"/>
      <c r="J814" s="379">
        <f t="shared" si="52"/>
        <v>76.62673075543438</v>
      </c>
      <c r="K814" s="254"/>
    </row>
    <row r="815" spans="1:11" ht="15">
      <c r="A815" s="87" t="s">
        <v>819</v>
      </c>
      <c r="B815" s="85" t="s">
        <v>1788</v>
      </c>
      <c r="C815" s="85" t="s">
        <v>141</v>
      </c>
      <c r="D815" s="85" t="s">
        <v>374</v>
      </c>
      <c r="E815" s="85" t="s">
        <v>744</v>
      </c>
      <c r="F815" s="90"/>
      <c r="G815" s="90">
        <v>2787.8</v>
      </c>
      <c r="H815" s="201">
        <v>2136.2</v>
      </c>
      <c r="I815" s="379"/>
      <c r="J815" s="379">
        <f t="shared" si="52"/>
        <v>76.62673075543438</v>
      </c>
      <c r="K815" s="254"/>
    </row>
    <row r="816" spans="1:11" ht="15">
      <c r="A816" s="87" t="s">
        <v>57</v>
      </c>
      <c r="B816" s="85" t="s">
        <v>1788</v>
      </c>
      <c r="C816" s="85" t="s">
        <v>141</v>
      </c>
      <c r="D816" s="85" t="s">
        <v>58</v>
      </c>
      <c r="E816" s="85" t="s">
        <v>1071</v>
      </c>
      <c r="F816" s="243">
        <f>F817</f>
        <v>187918.2</v>
      </c>
      <c r="G816" s="243">
        <f>G817</f>
        <v>12159.7</v>
      </c>
      <c r="H816" s="243">
        <f>H817</f>
        <v>11994.7</v>
      </c>
      <c r="I816" s="379">
        <f t="shared" si="51"/>
        <v>6.382936831025414</v>
      </c>
      <c r="J816" s="379">
        <f t="shared" si="52"/>
        <v>98.64305862809115</v>
      </c>
      <c r="K816" s="254"/>
    </row>
    <row r="817" spans="1:11" ht="15">
      <c r="A817" s="87" t="s">
        <v>819</v>
      </c>
      <c r="B817" s="85" t="s">
        <v>1788</v>
      </c>
      <c r="C817" s="85" t="s">
        <v>141</v>
      </c>
      <c r="D817" s="85" t="s">
        <v>58</v>
      </c>
      <c r="E817" s="85" t="s">
        <v>744</v>
      </c>
      <c r="F817" s="243">
        <f>F818+F819+F824</f>
        <v>187918.2</v>
      </c>
      <c r="G817" s="243">
        <f>G818+G819+G824</f>
        <v>12159.7</v>
      </c>
      <c r="H817" s="243">
        <f>H818+H819+H824</f>
        <v>11994.7</v>
      </c>
      <c r="I817" s="379">
        <f t="shared" si="51"/>
        <v>6.382936831025414</v>
      </c>
      <c r="J817" s="379">
        <f t="shared" si="52"/>
        <v>98.64305862809115</v>
      </c>
      <c r="K817" s="254"/>
    </row>
    <row r="818" spans="1:11" ht="24">
      <c r="A818" s="87" t="s">
        <v>745</v>
      </c>
      <c r="B818" s="85" t="s">
        <v>1788</v>
      </c>
      <c r="C818" s="85" t="s">
        <v>141</v>
      </c>
      <c r="D818" s="85" t="s">
        <v>58</v>
      </c>
      <c r="E818" s="85" t="s">
        <v>746</v>
      </c>
      <c r="F818" s="90">
        <v>136497</v>
      </c>
      <c r="G818" s="90">
        <f>8899+314.4+800</f>
        <v>10013.4</v>
      </c>
      <c r="H818" s="201">
        <v>9919.5</v>
      </c>
      <c r="I818" s="379">
        <f t="shared" si="51"/>
        <v>7.267192685553529</v>
      </c>
      <c r="J818" s="379">
        <f t="shared" si="52"/>
        <v>99.0622565761879</v>
      </c>
      <c r="K818" s="254"/>
    </row>
    <row r="819" spans="1:11" ht="15">
      <c r="A819" s="87" t="s">
        <v>375</v>
      </c>
      <c r="B819" s="85" t="s">
        <v>1788</v>
      </c>
      <c r="C819" s="85" t="s">
        <v>141</v>
      </c>
      <c r="D819" s="85" t="s">
        <v>58</v>
      </c>
      <c r="E819" s="85" t="s">
        <v>1637</v>
      </c>
      <c r="F819" s="243">
        <f>F820+F821+F822+F823</f>
        <v>50614.2</v>
      </c>
      <c r="G819" s="243">
        <f>G820+G821+G822+G823</f>
        <v>2146.3</v>
      </c>
      <c r="H819" s="243">
        <f>H820+H821+H822+H823</f>
        <v>2075.2</v>
      </c>
      <c r="I819" s="379">
        <f t="shared" si="51"/>
        <v>4.1000351679963325</v>
      </c>
      <c r="J819" s="379">
        <f t="shared" si="52"/>
        <v>96.68732236872756</v>
      </c>
      <c r="K819" s="254"/>
    </row>
    <row r="820" spans="1:11" ht="60">
      <c r="A820" s="87" t="s">
        <v>376</v>
      </c>
      <c r="B820" s="85" t="s">
        <v>1788</v>
      </c>
      <c r="C820" s="85" t="s">
        <v>141</v>
      </c>
      <c r="D820" s="85" t="s">
        <v>58</v>
      </c>
      <c r="E820" s="85" t="s">
        <v>1637</v>
      </c>
      <c r="F820" s="90"/>
      <c r="G820" s="90">
        <v>1072</v>
      </c>
      <c r="H820" s="201">
        <v>1072</v>
      </c>
      <c r="I820" s="379"/>
      <c r="J820" s="379">
        <f t="shared" si="52"/>
        <v>100</v>
      </c>
      <c r="K820" s="254"/>
    </row>
    <row r="821" spans="1:11" ht="15">
      <c r="A821" s="87" t="s">
        <v>377</v>
      </c>
      <c r="B821" s="85" t="s">
        <v>1788</v>
      </c>
      <c r="C821" s="85" t="s">
        <v>141</v>
      </c>
      <c r="D821" s="85" t="s">
        <v>378</v>
      </c>
      <c r="E821" s="85" t="s">
        <v>1637</v>
      </c>
      <c r="F821" s="90"/>
      <c r="G821" s="90">
        <v>1074.3</v>
      </c>
      <c r="H821" s="201">
        <v>1003.2</v>
      </c>
      <c r="I821" s="379"/>
      <c r="J821" s="379">
        <f t="shared" si="52"/>
        <v>93.38173694498744</v>
      </c>
      <c r="K821" s="254"/>
    </row>
    <row r="822" spans="1:11" ht="24">
      <c r="A822" s="87" t="s">
        <v>1824</v>
      </c>
      <c r="B822" s="85" t="s">
        <v>1788</v>
      </c>
      <c r="C822" s="85" t="s">
        <v>141</v>
      </c>
      <c r="D822" s="85" t="s">
        <v>378</v>
      </c>
      <c r="E822" s="85" t="s">
        <v>1637</v>
      </c>
      <c r="F822" s="90">
        <v>5697</v>
      </c>
      <c r="G822" s="90"/>
      <c r="H822" s="201"/>
      <c r="I822" s="379">
        <f t="shared" si="51"/>
        <v>0</v>
      </c>
      <c r="J822" s="379"/>
      <c r="K822" s="254"/>
    </row>
    <row r="823" spans="1:11" ht="24">
      <c r="A823" s="87" t="s">
        <v>1825</v>
      </c>
      <c r="B823" s="85" t="s">
        <v>1788</v>
      </c>
      <c r="C823" s="85" t="s">
        <v>141</v>
      </c>
      <c r="D823" s="85" t="s">
        <v>378</v>
      </c>
      <c r="E823" s="85" t="s">
        <v>1637</v>
      </c>
      <c r="F823" s="90">
        <v>44917.2</v>
      </c>
      <c r="G823" s="90"/>
      <c r="H823" s="201"/>
      <c r="I823" s="379">
        <f t="shared" si="51"/>
        <v>0</v>
      </c>
      <c r="J823" s="379"/>
      <c r="K823" s="254"/>
    </row>
    <row r="824" spans="1:11" ht="15">
      <c r="A824" s="87" t="s">
        <v>819</v>
      </c>
      <c r="B824" s="85" t="s">
        <v>1788</v>
      </c>
      <c r="C824" s="85" t="s">
        <v>141</v>
      </c>
      <c r="D824" s="85" t="s">
        <v>60</v>
      </c>
      <c r="E824" s="85" t="s">
        <v>744</v>
      </c>
      <c r="F824" s="243">
        <f>F825</f>
        <v>807</v>
      </c>
      <c r="G824" s="90"/>
      <c r="H824" s="201"/>
      <c r="I824" s="379">
        <f t="shared" si="51"/>
        <v>0</v>
      </c>
      <c r="J824" s="379"/>
      <c r="K824" s="254"/>
    </row>
    <row r="825" spans="1:11" ht="24">
      <c r="A825" s="87" t="s">
        <v>745</v>
      </c>
      <c r="B825" s="85" t="s">
        <v>1788</v>
      </c>
      <c r="C825" s="85" t="s">
        <v>141</v>
      </c>
      <c r="D825" s="85" t="s">
        <v>60</v>
      </c>
      <c r="E825" s="85" t="s">
        <v>746</v>
      </c>
      <c r="F825" s="90">
        <v>807</v>
      </c>
      <c r="G825" s="90"/>
      <c r="H825" s="201"/>
      <c r="I825" s="379">
        <f t="shared" si="51"/>
        <v>0</v>
      </c>
      <c r="J825" s="379"/>
      <c r="K825" s="254"/>
    </row>
    <row r="826" spans="1:11" ht="24">
      <c r="A826" s="87" t="s">
        <v>379</v>
      </c>
      <c r="B826" s="85" t="s">
        <v>1788</v>
      </c>
      <c r="C826" s="85" t="s">
        <v>141</v>
      </c>
      <c r="D826" s="85" t="s">
        <v>1515</v>
      </c>
      <c r="E826" s="85" t="s">
        <v>1071</v>
      </c>
      <c r="F826" s="243">
        <f>F827</f>
        <v>0</v>
      </c>
      <c r="G826" s="243">
        <f>G827</f>
        <v>54508.1</v>
      </c>
      <c r="H826" s="243">
        <f>H827</f>
        <v>54502.1</v>
      </c>
      <c r="I826" s="379"/>
      <c r="J826" s="379">
        <f t="shared" si="52"/>
        <v>99.98899246167083</v>
      </c>
      <c r="K826" s="254"/>
    </row>
    <row r="827" spans="1:11" ht="15">
      <c r="A827" s="87" t="s">
        <v>819</v>
      </c>
      <c r="B827" s="85" t="s">
        <v>1788</v>
      </c>
      <c r="C827" s="85" t="s">
        <v>141</v>
      </c>
      <c r="D827" s="85" t="s">
        <v>1515</v>
      </c>
      <c r="E827" s="85" t="s">
        <v>744</v>
      </c>
      <c r="F827" s="90"/>
      <c r="G827" s="90">
        <v>54508.1</v>
      </c>
      <c r="H827" s="201">
        <v>54502.1</v>
      </c>
      <c r="I827" s="379"/>
      <c r="J827" s="379">
        <f t="shared" si="52"/>
        <v>99.98899246167083</v>
      </c>
      <c r="K827" s="254"/>
    </row>
    <row r="828" spans="1:11" ht="15">
      <c r="A828" s="86" t="s">
        <v>909</v>
      </c>
      <c r="B828" s="85" t="s">
        <v>1788</v>
      </c>
      <c r="C828" s="85" t="s">
        <v>141</v>
      </c>
      <c r="D828" s="85" t="s">
        <v>910</v>
      </c>
      <c r="E828" s="85"/>
      <c r="F828" s="243">
        <f>F829+F832</f>
        <v>23760</v>
      </c>
      <c r="G828" s="243">
        <f>G829+G832</f>
        <v>51693.6</v>
      </c>
      <c r="H828" s="243">
        <f>H829+H832</f>
        <v>37374.2</v>
      </c>
      <c r="I828" s="379">
        <f t="shared" si="51"/>
        <v>157.29882154882154</v>
      </c>
      <c r="J828" s="379">
        <f t="shared" si="52"/>
        <v>72.29947227509787</v>
      </c>
      <c r="K828" s="254"/>
    </row>
    <row r="829" spans="1:11" ht="24">
      <c r="A829" s="87" t="s">
        <v>1156</v>
      </c>
      <c r="B829" s="85" t="s">
        <v>1788</v>
      </c>
      <c r="C829" s="85" t="s">
        <v>141</v>
      </c>
      <c r="D829" s="83" t="s">
        <v>741</v>
      </c>
      <c r="E829" s="83"/>
      <c r="F829" s="243">
        <f>F830</f>
        <v>23760</v>
      </c>
      <c r="G829" s="243">
        <f>G830</f>
        <v>0</v>
      </c>
      <c r="H829" s="201"/>
      <c r="I829" s="379">
        <f t="shared" si="51"/>
        <v>0</v>
      </c>
      <c r="J829" s="379"/>
      <c r="K829" s="254"/>
    </row>
    <row r="830" spans="1:11" ht="15">
      <c r="A830" s="87" t="s">
        <v>743</v>
      </c>
      <c r="B830" s="85" t="s">
        <v>1788</v>
      </c>
      <c r="C830" s="85" t="s">
        <v>141</v>
      </c>
      <c r="D830" s="83" t="s">
        <v>741</v>
      </c>
      <c r="E830" s="83" t="s">
        <v>744</v>
      </c>
      <c r="F830" s="243">
        <f>F831</f>
        <v>23760</v>
      </c>
      <c r="G830" s="243">
        <f>G831</f>
        <v>0</v>
      </c>
      <c r="H830" s="201"/>
      <c r="I830" s="379">
        <f t="shared" si="51"/>
        <v>0</v>
      </c>
      <c r="J830" s="379"/>
      <c r="K830" s="254"/>
    </row>
    <row r="831" spans="1:11" ht="24">
      <c r="A831" s="361" t="s">
        <v>745</v>
      </c>
      <c r="B831" s="85" t="s">
        <v>1788</v>
      </c>
      <c r="C831" s="85" t="s">
        <v>141</v>
      </c>
      <c r="D831" s="83" t="s">
        <v>741</v>
      </c>
      <c r="E831" s="83" t="s">
        <v>746</v>
      </c>
      <c r="F831" s="90">
        <v>23760</v>
      </c>
      <c r="G831" s="90">
        <v>0</v>
      </c>
      <c r="H831" s="201"/>
      <c r="I831" s="379">
        <f t="shared" si="51"/>
        <v>0</v>
      </c>
      <c r="J831" s="379"/>
      <c r="K831" s="254"/>
    </row>
    <row r="832" spans="1:11" ht="24">
      <c r="A832" s="361" t="s">
        <v>380</v>
      </c>
      <c r="B832" s="85" t="s">
        <v>1788</v>
      </c>
      <c r="C832" s="85" t="s">
        <v>141</v>
      </c>
      <c r="D832" s="83" t="s">
        <v>381</v>
      </c>
      <c r="E832" s="83" t="s">
        <v>1071</v>
      </c>
      <c r="F832" s="243">
        <f aca="true" t="shared" si="56" ref="F832:H833">F833</f>
        <v>0</v>
      </c>
      <c r="G832" s="243">
        <f t="shared" si="56"/>
        <v>51693.6</v>
      </c>
      <c r="H832" s="243">
        <f t="shared" si="56"/>
        <v>37374.2</v>
      </c>
      <c r="I832" s="379"/>
      <c r="J832" s="379">
        <f t="shared" si="52"/>
        <v>72.29947227509787</v>
      </c>
      <c r="K832" s="254"/>
    </row>
    <row r="833" spans="1:11" ht="15">
      <c r="A833" s="87" t="s">
        <v>819</v>
      </c>
      <c r="B833" s="85" t="s">
        <v>1788</v>
      </c>
      <c r="C833" s="85" t="s">
        <v>141</v>
      </c>
      <c r="D833" s="85" t="s">
        <v>381</v>
      </c>
      <c r="E833" s="85" t="s">
        <v>744</v>
      </c>
      <c r="F833" s="243">
        <f t="shared" si="56"/>
        <v>0</v>
      </c>
      <c r="G833" s="243">
        <f t="shared" si="56"/>
        <v>51693.6</v>
      </c>
      <c r="H833" s="243">
        <f t="shared" si="56"/>
        <v>37374.2</v>
      </c>
      <c r="I833" s="379"/>
      <c r="J833" s="379">
        <f t="shared" si="52"/>
        <v>72.29947227509787</v>
      </c>
      <c r="K833" s="254"/>
    </row>
    <row r="834" spans="1:11" ht="15">
      <c r="A834" s="87" t="s">
        <v>375</v>
      </c>
      <c r="B834" s="85" t="s">
        <v>1788</v>
      </c>
      <c r="C834" s="85" t="s">
        <v>141</v>
      </c>
      <c r="D834" s="85" t="s">
        <v>381</v>
      </c>
      <c r="E834" s="85" t="s">
        <v>1637</v>
      </c>
      <c r="F834" s="243">
        <f>F835+F836+F837</f>
        <v>0</v>
      </c>
      <c r="G834" s="243">
        <f>G835+G836+G837</f>
        <v>51693.6</v>
      </c>
      <c r="H834" s="243">
        <f>H835+H836+H837</f>
        <v>37374.2</v>
      </c>
      <c r="I834" s="379"/>
      <c r="J834" s="379">
        <f t="shared" si="52"/>
        <v>72.29947227509787</v>
      </c>
      <c r="K834" s="254"/>
    </row>
    <row r="835" spans="1:11" ht="48">
      <c r="A835" s="87" t="s">
        <v>382</v>
      </c>
      <c r="B835" s="85" t="s">
        <v>1788</v>
      </c>
      <c r="C835" s="85" t="s">
        <v>141</v>
      </c>
      <c r="D835" s="85" t="s">
        <v>381</v>
      </c>
      <c r="E835" s="85" t="s">
        <v>1637</v>
      </c>
      <c r="F835" s="90"/>
      <c r="G835" s="90">
        <f>5697-139.7-522.5</f>
        <v>5034.8</v>
      </c>
      <c r="H835" s="201">
        <v>5034.8</v>
      </c>
      <c r="I835" s="379"/>
      <c r="J835" s="379">
        <f t="shared" si="52"/>
        <v>100</v>
      </c>
      <c r="K835" s="254"/>
    </row>
    <row r="836" spans="1:11" ht="36">
      <c r="A836" s="87" t="s">
        <v>383</v>
      </c>
      <c r="B836" s="85" t="s">
        <v>1788</v>
      </c>
      <c r="C836" s="85" t="s">
        <v>141</v>
      </c>
      <c r="D836" s="85" t="s">
        <v>381</v>
      </c>
      <c r="E836" s="85" t="s">
        <v>1637</v>
      </c>
      <c r="F836" s="90"/>
      <c r="G836" s="90">
        <f>44917.2-11454.3-99.7-302+250+52.9-3066.4+1050+300-806.8</f>
        <v>30840.899999999998</v>
      </c>
      <c r="H836" s="201">
        <v>18088.3</v>
      </c>
      <c r="I836" s="379"/>
      <c r="J836" s="379">
        <f t="shared" si="52"/>
        <v>58.65036364049039</v>
      </c>
      <c r="K836" s="254"/>
    </row>
    <row r="837" spans="1:11" ht="15">
      <c r="A837" s="87" t="s">
        <v>494</v>
      </c>
      <c r="B837" s="85" t="s">
        <v>1788</v>
      </c>
      <c r="C837" s="85" t="s">
        <v>141</v>
      </c>
      <c r="D837" s="85" t="s">
        <v>381</v>
      </c>
      <c r="E837" s="85" t="s">
        <v>1637</v>
      </c>
      <c r="F837" s="90"/>
      <c r="G837" s="90">
        <f>14215.4+1602.5</f>
        <v>15817.9</v>
      </c>
      <c r="H837" s="201">
        <v>14251.1</v>
      </c>
      <c r="I837" s="379"/>
      <c r="J837" s="379">
        <f t="shared" si="52"/>
        <v>90.09476605617687</v>
      </c>
      <c r="K837" s="254"/>
    </row>
    <row r="838" spans="1:11" ht="15">
      <c r="A838" s="106" t="s">
        <v>969</v>
      </c>
      <c r="B838" s="85" t="s">
        <v>1788</v>
      </c>
      <c r="C838" s="85" t="s">
        <v>142</v>
      </c>
      <c r="D838" s="85"/>
      <c r="E838" s="85"/>
      <c r="F838" s="243">
        <f>F839+F860+F867+F873</f>
        <v>178260</v>
      </c>
      <c r="G838" s="243">
        <f>G839+G860+G867+G873</f>
        <v>260555.1</v>
      </c>
      <c r="H838" s="243">
        <f>H839+H860+H867+H873</f>
        <v>218879.7</v>
      </c>
      <c r="I838" s="379">
        <f t="shared" si="51"/>
        <v>122.78677213059576</v>
      </c>
      <c r="J838" s="379">
        <f t="shared" si="52"/>
        <v>84.00514900687034</v>
      </c>
      <c r="K838" s="254"/>
    </row>
    <row r="839" spans="1:11" ht="15">
      <c r="A839" s="86" t="s">
        <v>61</v>
      </c>
      <c r="B839" s="85" t="s">
        <v>1788</v>
      </c>
      <c r="C839" s="85" t="s">
        <v>142</v>
      </c>
      <c r="D839" s="85" t="s">
        <v>62</v>
      </c>
      <c r="E839" s="85"/>
      <c r="F839" s="243">
        <f>F840+F842+F844+F846+F848</f>
        <v>161081</v>
      </c>
      <c r="G839" s="243">
        <f>G840+G842+G844+G846+G848</f>
        <v>162959</v>
      </c>
      <c r="H839" s="243">
        <f>H840+H842+H844+H846+H848</f>
        <v>125185.1</v>
      </c>
      <c r="I839" s="379">
        <f t="shared" si="51"/>
        <v>77.71562133336644</v>
      </c>
      <c r="J839" s="379">
        <f t="shared" si="52"/>
        <v>76.81999766812511</v>
      </c>
      <c r="K839" s="254"/>
    </row>
    <row r="840" spans="1:11" ht="48">
      <c r="A840" s="87" t="s">
        <v>384</v>
      </c>
      <c r="B840" s="85" t="s">
        <v>1788</v>
      </c>
      <c r="C840" s="85" t="s">
        <v>142</v>
      </c>
      <c r="D840" s="85" t="s">
        <v>385</v>
      </c>
      <c r="E840" s="85" t="s">
        <v>1071</v>
      </c>
      <c r="F840" s="243">
        <f>F841</f>
        <v>0</v>
      </c>
      <c r="G840" s="243">
        <f>G841</f>
        <v>24265.2</v>
      </c>
      <c r="H840" s="243">
        <f>H841</f>
        <v>22120.8</v>
      </c>
      <c r="I840" s="379"/>
      <c r="J840" s="379">
        <f t="shared" si="52"/>
        <v>91.1626526877998</v>
      </c>
      <c r="K840" s="254"/>
    </row>
    <row r="841" spans="1:11" ht="15">
      <c r="A841" s="87" t="s">
        <v>819</v>
      </c>
      <c r="B841" s="85" t="s">
        <v>1788</v>
      </c>
      <c r="C841" s="85" t="s">
        <v>142</v>
      </c>
      <c r="D841" s="85" t="s">
        <v>385</v>
      </c>
      <c r="E841" s="85" t="s">
        <v>744</v>
      </c>
      <c r="F841" s="90"/>
      <c r="G841" s="90">
        <v>24265.2</v>
      </c>
      <c r="H841" s="201">
        <v>22120.8</v>
      </c>
      <c r="I841" s="379"/>
      <c r="J841" s="379">
        <f t="shared" si="52"/>
        <v>91.1626526877998</v>
      </c>
      <c r="K841" s="254"/>
    </row>
    <row r="842" spans="1:11" ht="24">
      <c r="A842" s="87" t="s">
        <v>1351</v>
      </c>
      <c r="B842" s="85" t="s">
        <v>1788</v>
      </c>
      <c r="C842" s="85" t="s">
        <v>142</v>
      </c>
      <c r="D842" s="85" t="s">
        <v>1352</v>
      </c>
      <c r="E842" s="85" t="s">
        <v>1071</v>
      </c>
      <c r="F842" s="243">
        <f>F843</f>
        <v>0</v>
      </c>
      <c r="G842" s="243">
        <f>G843</f>
        <v>50612.9</v>
      </c>
      <c r="H842" s="243">
        <f>H843</f>
        <v>45530.8</v>
      </c>
      <c r="I842" s="379"/>
      <c r="J842" s="379">
        <f t="shared" si="52"/>
        <v>89.95888399992887</v>
      </c>
      <c r="K842" s="254"/>
    </row>
    <row r="843" spans="1:11" ht="15">
      <c r="A843" s="87" t="s">
        <v>819</v>
      </c>
      <c r="B843" s="85" t="s">
        <v>1788</v>
      </c>
      <c r="C843" s="85" t="s">
        <v>142</v>
      </c>
      <c r="D843" s="85" t="s">
        <v>1352</v>
      </c>
      <c r="E843" s="85" t="s">
        <v>744</v>
      </c>
      <c r="F843" s="90"/>
      <c r="G843" s="90">
        <v>50612.9</v>
      </c>
      <c r="H843" s="201">
        <v>45530.8</v>
      </c>
      <c r="I843" s="379"/>
      <c r="J843" s="379">
        <f t="shared" si="52"/>
        <v>89.95888399992887</v>
      </c>
      <c r="K843" s="254"/>
    </row>
    <row r="844" spans="1:11" ht="36">
      <c r="A844" s="87" t="s">
        <v>1353</v>
      </c>
      <c r="B844" s="85" t="s">
        <v>1788</v>
      </c>
      <c r="C844" s="85" t="s">
        <v>142</v>
      </c>
      <c r="D844" s="85" t="s">
        <v>1354</v>
      </c>
      <c r="E844" s="85" t="s">
        <v>1071</v>
      </c>
      <c r="F844" s="243">
        <f>F845</f>
        <v>0</v>
      </c>
      <c r="G844" s="243">
        <f>G845</f>
        <v>60626.8</v>
      </c>
      <c r="H844" s="243">
        <f>H845</f>
        <v>33060.8</v>
      </c>
      <c r="I844" s="379"/>
      <c r="J844" s="379">
        <f t="shared" si="52"/>
        <v>54.53165926619911</v>
      </c>
      <c r="K844" s="254"/>
    </row>
    <row r="845" spans="1:11" ht="15">
      <c r="A845" s="87" t="s">
        <v>1355</v>
      </c>
      <c r="B845" s="85" t="s">
        <v>1788</v>
      </c>
      <c r="C845" s="85" t="s">
        <v>142</v>
      </c>
      <c r="D845" s="85" t="s">
        <v>1354</v>
      </c>
      <c r="E845" s="85" t="s">
        <v>744</v>
      </c>
      <c r="F845" s="90"/>
      <c r="G845" s="90">
        <v>60626.8</v>
      </c>
      <c r="H845" s="201">
        <v>33060.8</v>
      </c>
      <c r="I845" s="379"/>
      <c r="J845" s="379">
        <f t="shared" si="52"/>
        <v>54.53165926619911</v>
      </c>
      <c r="K845" s="254"/>
    </row>
    <row r="846" spans="1:11" ht="24">
      <c r="A846" s="87" t="s">
        <v>1497</v>
      </c>
      <c r="B846" s="85" t="s">
        <v>1788</v>
      </c>
      <c r="C846" s="85" t="s">
        <v>142</v>
      </c>
      <c r="D846" s="85" t="s">
        <v>1498</v>
      </c>
      <c r="E846" s="85" t="s">
        <v>1071</v>
      </c>
      <c r="F846" s="243">
        <f>F847</f>
        <v>0</v>
      </c>
      <c r="G846" s="243">
        <f>G847</f>
        <v>7052.3</v>
      </c>
      <c r="H846" s="243">
        <f>H847</f>
        <v>5027.1</v>
      </c>
      <c r="I846" s="379"/>
      <c r="J846" s="379">
        <f aca="true" t="shared" si="57" ref="J846:J909">H846/G846*100</f>
        <v>71.2831274903223</v>
      </c>
      <c r="K846" s="254"/>
    </row>
    <row r="847" spans="1:11" ht="15">
      <c r="A847" s="87" t="s">
        <v>819</v>
      </c>
      <c r="B847" s="85" t="s">
        <v>1788</v>
      </c>
      <c r="C847" s="85" t="s">
        <v>142</v>
      </c>
      <c r="D847" s="85" t="s">
        <v>1498</v>
      </c>
      <c r="E847" s="85" t="s">
        <v>744</v>
      </c>
      <c r="F847" s="90"/>
      <c r="G847" s="90">
        <v>7052.3</v>
      </c>
      <c r="H847" s="201">
        <v>5027.1</v>
      </c>
      <c r="I847" s="379"/>
      <c r="J847" s="379">
        <f t="shared" si="57"/>
        <v>71.2831274903223</v>
      </c>
      <c r="K847" s="254"/>
    </row>
    <row r="848" spans="1:11" ht="15">
      <c r="A848" s="87" t="s">
        <v>661</v>
      </c>
      <c r="B848" s="85" t="s">
        <v>1788</v>
      </c>
      <c r="C848" s="85" t="s">
        <v>142</v>
      </c>
      <c r="D848" s="85" t="s">
        <v>63</v>
      </c>
      <c r="E848" s="314" t="s">
        <v>1071</v>
      </c>
      <c r="F848" s="243">
        <f>F849</f>
        <v>161081</v>
      </c>
      <c r="G848" s="243">
        <f>G849</f>
        <v>20401.8</v>
      </c>
      <c r="H848" s="243">
        <f>H849</f>
        <v>19445.6</v>
      </c>
      <c r="I848" s="379">
        <f>H848/F848*100</f>
        <v>12.071938962385383</v>
      </c>
      <c r="J848" s="379">
        <f t="shared" si="57"/>
        <v>95.31315864286483</v>
      </c>
      <c r="K848" s="254"/>
    </row>
    <row r="849" spans="1:11" ht="15">
      <c r="A849" s="87" t="s">
        <v>819</v>
      </c>
      <c r="B849" s="85" t="s">
        <v>1788</v>
      </c>
      <c r="C849" s="85" t="s">
        <v>142</v>
      </c>
      <c r="D849" s="85" t="s">
        <v>63</v>
      </c>
      <c r="E849" s="85" t="s">
        <v>744</v>
      </c>
      <c r="F849" s="243">
        <f>F850+F851+F857</f>
        <v>161081</v>
      </c>
      <c r="G849" s="243">
        <f>G850+G851</f>
        <v>20401.8</v>
      </c>
      <c r="H849" s="243">
        <f>H850+H851</f>
        <v>19445.6</v>
      </c>
      <c r="I849" s="379">
        <f>H849/F849*100</f>
        <v>12.071938962385383</v>
      </c>
      <c r="J849" s="379">
        <f t="shared" si="57"/>
        <v>95.31315864286483</v>
      </c>
      <c r="K849" s="254"/>
    </row>
    <row r="850" spans="1:11" ht="24">
      <c r="A850" s="87" t="s">
        <v>745</v>
      </c>
      <c r="B850" s="85" t="s">
        <v>1788</v>
      </c>
      <c r="C850" s="85" t="s">
        <v>142</v>
      </c>
      <c r="D850" s="85" t="s">
        <v>63</v>
      </c>
      <c r="E850" s="85" t="s">
        <v>746</v>
      </c>
      <c r="F850" s="90">
        <v>132772</v>
      </c>
      <c r="G850" s="90">
        <f>15436+539.4-150-200</f>
        <v>15625.4</v>
      </c>
      <c r="H850" s="201">
        <v>14769.2</v>
      </c>
      <c r="I850" s="379">
        <f>H850/F850*100</f>
        <v>11.123730907118972</v>
      </c>
      <c r="J850" s="379">
        <f t="shared" si="57"/>
        <v>94.52046027621694</v>
      </c>
      <c r="K850" s="254"/>
    </row>
    <row r="851" spans="1:11" ht="15">
      <c r="A851" s="87" t="s">
        <v>375</v>
      </c>
      <c r="B851" s="85" t="s">
        <v>1788</v>
      </c>
      <c r="C851" s="85" t="s">
        <v>142</v>
      </c>
      <c r="D851" s="85" t="s">
        <v>63</v>
      </c>
      <c r="E851" s="85" t="s">
        <v>1637</v>
      </c>
      <c r="F851" s="243">
        <f>F852+F853+F854+F855+F856</f>
        <v>5773</v>
      </c>
      <c r="G851" s="243">
        <f>G852+G853+G854+G855+G856</f>
        <v>4776.400000000001</v>
      </c>
      <c r="H851" s="243">
        <f>H852+H853+H854+H855+H856</f>
        <v>4676.4</v>
      </c>
      <c r="I851" s="379">
        <f>H851/F851*100</f>
        <v>81.00467694439632</v>
      </c>
      <c r="J851" s="379">
        <f t="shared" si="57"/>
        <v>97.9063730005862</v>
      </c>
      <c r="K851" s="254"/>
    </row>
    <row r="852" spans="1:11" ht="60">
      <c r="A852" s="87" t="s">
        <v>1499</v>
      </c>
      <c r="B852" s="85" t="s">
        <v>1788</v>
      </c>
      <c r="C852" s="85" t="s">
        <v>142</v>
      </c>
      <c r="D852" s="85" t="s">
        <v>63</v>
      </c>
      <c r="E852" s="85" t="s">
        <v>1637</v>
      </c>
      <c r="F852" s="90"/>
      <c r="G852" s="90">
        <f>4191.8+100+355.1</f>
        <v>4646.900000000001</v>
      </c>
      <c r="H852" s="201">
        <v>4646.9</v>
      </c>
      <c r="I852" s="379"/>
      <c r="J852" s="379">
        <f t="shared" si="57"/>
        <v>99.99999999999997</v>
      </c>
      <c r="K852" s="254"/>
    </row>
    <row r="853" spans="1:11" ht="48">
      <c r="A853" s="87" t="s">
        <v>1500</v>
      </c>
      <c r="B853" s="85" t="s">
        <v>1788</v>
      </c>
      <c r="C853" s="85" t="s">
        <v>142</v>
      </c>
      <c r="D853" s="85" t="s">
        <v>1501</v>
      </c>
      <c r="E853" s="85" t="s">
        <v>1637</v>
      </c>
      <c r="F853" s="90">
        <v>5487</v>
      </c>
      <c r="G853" s="90">
        <v>0</v>
      </c>
      <c r="H853" s="201"/>
      <c r="I853" s="379">
        <f>H853/F853*100</f>
        <v>0</v>
      </c>
      <c r="J853" s="379"/>
      <c r="K853" s="254"/>
    </row>
    <row r="854" spans="1:11" ht="24">
      <c r="A854" s="87" t="s">
        <v>1502</v>
      </c>
      <c r="B854" s="85" t="s">
        <v>1788</v>
      </c>
      <c r="C854" s="85" t="s">
        <v>142</v>
      </c>
      <c r="D854" s="85" t="s">
        <v>1503</v>
      </c>
      <c r="E854" s="85" t="s">
        <v>1637</v>
      </c>
      <c r="F854" s="90">
        <v>286</v>
      </c>
      <c r="G854" s="90"/>
      <c r="H854" s="201"/>
      <c r="I854" s="379">
        <f>H854/F854*100</f>
        <v>0</v>
      </c>
      <c r="J854" s="379"/>
      <c r="K854" s="254"/>
    </row>
    <row r="855" spans="1:11" ht="36">
      <c r="A855" s="87" t="s">
        <v>1504</v>
      </c>
      <c r="B855" s="85" t="s">
        <v>1788</v>
      </c>
      <c r="C855" s="85" t="s">
        <v>142</v>
      </c>
      <c r="D855" s="85" t="s">
        <v>1505</v>
      </c>
      <c r="E855" s="85" t="s">
        <v>1637</v>
      </c>
      <c r="F855" s="90"/>
      <c r="G855" s="90">
        <v>29.5</v>
      </c>
      <c r="H855" s="201">
        <v>29.5</v>
      </c>
      <c r="I855" s="379"/>
      <c r="J855" s="379"/>
      <c r="K855" s="254"/>
    </row>
    <row r="856" spans="1:11" ht="15">
      <c r="A856" s="87" t="s">
        <v>1506</v>
      </c>
      <c r="B856" s="85" t="s">
        <v>1788</v>
      </c>
      <c r="C856" s="85" t="s">
        <v>142</v>
      </c>
      <c r="D856" s="85" t="s">
        <v>63</v>
      </c>
      <c r="E856" s="85" t="s">
        <v>1637</v>
      </c>
      <c r="F856" s="90"/>
      <c r="G856" s="90">
        <v>100</v>
      </c>
      <c r="H856" s="201"/>
      <c r="I856" s="379"/>
      <c r="J856" s="379">
        <f t="shared" si="57"/>
        <v>0</v>
      </c>
      <c r="K856" s="254"/>
    </row>
    <row r="857" spans="1:11" ht="36">
      <c r="A857" s="87" t="s">
        <v>1826</v>
      </c>
      <c r="B857" s="85" t="s">
        <v>1788</v>
      </c>
      <c r="C857" s="85" t="s">
        <v>142</v>
      </c>
      <c r="D857" s="85" t="s">
        <v>64</v>
      </c>
      <c r="E857" s="85" t="s">
        <v>1071</v>
      </c>
      <c r="F857" s="243">
        <f>F858</f>
        <v>22536</v>
      </c>
      <c r="G857" s="90"/>
      <c r="H857" s="201"/>
      <c r="I857" s="379">
        <f>H857/F857*100</f>
        <v>0</v>
      </c>
      <c r="J857" s="379"/>
      <c r="K857" s="254"/>
    </row>
    <row r="858" spans="1:11" ht="15">
      <c r="A858" s="87" t="s">
        <v>819</v>
      </c>
      <c r="B858" s="85" t="s">
        <v>1788</v>
      </c>
      <c r="C858" s="85" t="s">
        <v>142</v>
      </c>
      <c r="D858" s="85" t="s">
        <v>64</v>
      </c>
      <c r="E858" s="85" t="s">
        <v>744</v>
      </c>
      <c r="F858" s="243">
        <f>F859</f>
        <v>22536</v>
      </c>
      <c r="G858" s="90"/>
      <c r="H858" s="201"/>
      <c r="I858" s="379">
        <f>H858/F858*100</f>
        <v>0</v>
      </c>
      <c r="J858" s="379"/>
      <c r="K858" s="254"/>
    </row>
    <row r="859" spans="1:11" ht="24">
      <c r="A859" s="87" t="s">
        <v>745</v>
      </c>
      <c r="B859" s="85" t="s">
        <v>1788</v>
      </c>
      <c r="C859" s="85" t="s">
        <v>142</v>
      </c>
      <c r="D859" s="85" t="s">
        <v>64</v>
      </c>
      <c r="E859" s="85" t="s">
        <v>746</v>
      </c>
      <c r="F859" s="90">
        <v>22536</v>
      </c>
      <c r="G859" s="90"/>
      <c r="H859" s="201"/>
      <c r="I859" s="379">
        <f>H859/F859*100</f>
        <v>0</v>
      </c>
      <c r="J859" s="379"/>
      <c r="K859" s="254"/>
    </row>
    <row r="860" spans="1:11" ht="15">
      <c r="A860" s="86" t="s">
        <v>65</v>
      </c>
      <c r="B860" s="85" t="s">
        <v>1788</v>
      </c>
      <c r="C860" s="85" t="s">
        <v>142</v>
      </c>
      <c r="D860" s="85" t="s">
        <v>66</v>
      </c>
      <c r="E860" s="85"/>
      <c r="F860" s="243">
        <f>F861+F863+F865</f>
        <v>7029</v>
      </c>
      <c r="G860" s="243">
        <f>G861+G863+G865</f>
        <v>7053</v>
      </c>
      <c r="H860" s="243">
        <f>H861+H863+H865</f>
        <v>6422</v>
      </c>
      <c r="I860" s="379">
        <f>H860/F860*100</f>
        <v>91.36434770237587</v>
      </c>
      <c r="J860" s="379">
        <f t="shared" si="57"/>
        <v>91.05345243158939</v>
      </c>
      <c r="K860" s="254"/>
    </row>
    <row r="861" spans="1:11" ht="24">
      <c r="A861" s="87" t="s">
        <v>1507</v>
      </c>
      <c r="B861" s="85" t="s">
        <v>1788</v>
      </c>
      <c r="C861" s="85" t="s">
        <v>142</v>
      </c>
      <c r="D861" s="85" t="s">
        <v>1508</v>
      </c>
      <c r="E861" s="85" t="s">
        <v>1071</v>
      </c>
      <c r="F861" s="243">
        <f>F862</f>
        <v>0</v>
      </c>
      <c r="G861" s="243">
        <f>G862</f>
        <v>5525</v>
      </c>
      <c r="H861" s="243">
        <f>H862</f>
        <v>5074.9</v>
      </c>
      <c r="I861" s="379"/>
      <c r="J861" s="379">
        <f t="shared" si="57"/>
        <v>91.85339366515836</v>
      </c>
      <c r="K861" s="254"/>
    </row>
    <row r="862" spans="1:11" ht="15">
      <c r="A862" s="87" t="s">
        <v>819</v>
      </c>
      <c r="B862" s="85" t="s">
        <v>1788</v>
      </c>
      <c r="C862" s="85" t="s">
        <v>142</v>
      </c>
      <c r="D862" s="85" t="s">
        <v>1508</v>
      </c>
      <c r="E862" s="85" t="s">
        <v>744</v>
      </c>
      <c r="F862" s="90"/>
      <c r="G862" s="90">
        <v>5525</v>
      </c>
      <c r="H862" s="201">
        <v>5074.9</v>
      </c>
      <c r="I862" s="379"/>
      <c r="J862" s="379">
        <f t="shared" si="57"/>
        <v>91.85339366515836</v>
      </c>
      <c r="K862" s="254"/>
    </row>
    <row r="863" spans="1:11" ht="36">
      <c r="A863" s="87" t="s">
        <v>1509</v>
      </c>
      <c r="B863" s="85" t="s">
        <v>1788</v>
      </c>
      <c r="C863" s="85" t="s">
        <v>142</v>
      </c>
      <c r="D863" s="85" t="s">
        <v>1510</v>
      </c>
      <c r="E863" s="85" t="s">
        <v>1071</v>
      </c>
      <c r="F863" s="243">
        <f>F864</f>
        <v>0</v>
      </c>
      <c r="G863" s="243">
        <f>G864</f>
        <v>1514</v>
      </c>
      <c r="H863" s="243">
        <f>H864</f>
        <v>1333.1</v>
      </c>
      <c r="I863" s="379"/>
      <c r="J863" s="379">
        <f t="shared" si="57"/>
        <v>88.05151915455745</v>
      </c>
      <c r="K863" s="254"/>
    </row>
    <row r="864" spans="1:11" ht="15">
      <c r="A864" s="87" t="s">
        <v>819</v>
      </c>
      <c r="B864" s="85" t="s">
        <v>1788</v>
      </c>
      <c r="C864" s="85" t="s">
        <v>142</v>
      </c>
      <c r="D864" s="85" t="s">
        <v>1510</v>
      </c>
      <c r="E864" s="85" t="s">
        <v>744</v>
      </c>
      <c r="F864" s="90"/>
      <c r="G864" s="90">
        <v>1514</v>
      </c>
      <c r="H864" s="201">
        <v>1333.1</v>
      </c>
      <c r="I864" s="379"/>
      <c r="J864" s="379">
        <f t="shared" si="57"/>
        <v>88.05151915455745</v>
      </c>
      <c r="K864" s="254"/>
    </row>
    <row r="865" spans="1:11" ht="15">
      <c r="A865" s="87" t="s">
        <v>661</v>
      </c>
      <c r="B865" s="85" t="s">
        <v>1788</v>
      </c>
      <c r="C865" s="85" t="s">
        <v>142</v>
      </c>
      <c r="D865" s="85" t="s">
        <v>67</v>
      </c>
      <c r="E865" s="85" t="s">
        <v>1071</v>
      </c>
      <c r="F865" s="243">
        <f>F866</f>
        <v>7029</v>
      </c>
      <c r="G865" s="243">
        <f>G866</f>
        <v>14</v>
      </c>
      <c r="H865" s="243">
        <f>H866</f>
        <v>14</v>
      </c>
      <c r="I865" s="379">
        <f>H865/F865*100</f>
        <v>0.19917484706217103</v>
      </c>
      <c r="J865" s="379">
        <f t="shared" si="57"/>
        <v>100</v>
      </c>
      <c r="K865" s="254"/>
    </row>
    <row r="866" spans="1:11" ht="24">
      <c r="A866" s="87" t="s">
        <v>745</v>
      </c>
      <c r="B866" s="85" t="s">
        <v>1788</v>
      </c>
      <c r="C866" s="85" t="s">
        <v>142</v>
      </c>
      <c r="D866" s="85" t="s">
        <v>67</v>
      </c>
      <c r="E866" s="85" t="s">
        <v>746</v>
      </c>
      <c r="F866" s="90">
        <v>7029</v>
      </c>
      <c r="G866" s="90">
        <v>14</v>
      </c>
      <c r="H866" s="201">
        <v>14</v>
      </c>
      <c r="I866" s="379">
        <f>H866/F866*100</f>
        <v>0.19917484706217103</v>
      </c>
      <c r="J866" s="379">
        <f t="shared" si="57"/>
        <v>100</v>
      </c>
      <c r="K866" s="254"/>
    </row>
    <row r="867" spans="1:11" ht="15">
      <c r="A867" s="362" t="s">
        <v>848</v>
      </c>
      <c r="B867" s="85" t="s">
        <v>1788</v>
      </c>
      <c r="C867" s="85" t="s">
        <v>142</v>
      </c>
      <c r="D867" s="85" t="s">
        <v>849</v>
      </c>
      <c r="E867" s="85"/>
      <c r="F867" s="243">
        <f>F868+F871</f>
        <v>860</v>
      </c>
      <c r="G867" s="243">
        <f>G868+G871</f>
        <v>51340.5</v>
      </c>
      <c r="H867" s="243">
        <f>H868+H871</f>
        <v>51229</v>
      </c>
      <c r="I867" s="421" t="s">
        <v>1212</v>
      </c>
      <c r="J867" s="379">
        <f t="shared" si="57"/>
        <v>99.78282252802369</v>
      </c>
      <c r="K867" s="254"/>
    </row>
    <row r="868" spans="1:11" ht="36">
      <c r="A868" s="87" t="s">
        <v>1511</v>
      </c>
      <c r="B868" s="85" t="s">
        <v>1788</v>
      </c>
      <c r="C868" s="85" t="s">
        <v>142</v>
      </c>
      <c r="D868" s="85" t="s">
        <v>68</v>
      </c>
      <c r="E868" s="85" t="s">
        <v>1071</v>
      </c>
      <c r="F868" s="243">
        <f>F869+F870</f>
        <v>860</v>
      </c>
      <c r="G868" s="243">
        <f>G869+G870</f>
        <v>765</v>
      </c>
      <c r="H868" s="243">
        <f>H869+H870</f>
        <v>653.5</v>
      </c>
      <c r="I868" s="379">
        <f>H868/F868*100</f>
        <v>75.98837209302326</v>
      </c>
      <c r="J868" s="379">
        <f t="shared" si="57"/>
        <v>85.42483660130719</v>
      </c>
      <c r="K868" s="254"/>
    </row>
    <row r="869" spans="1:11" ht="15">
      <c r="A869" s="87" t="s">
        <v>819</v>
      </c>
      <c r="B869" s="85" t="s">
        <v>1788</v>
      </c>
      <c r="C869" s="85" t="s">
        <v>142</v>
      </c>
      <c r="D869" s="85" t="s">
        <v>68</v>
      </c>
      <c r="E869" s="85" t="s">
        <v>744</v>
      </c>
      <c r="F869" s="90"/>
      <c r="G869" s="90">
        <v>765</v>
      </c>
      <c r="H869" s="201">
        <v>653.5</v>
      </c>
      <c r="I869" s="379"/>
      <c r="J869" s="379">
        <f t="shared" si="57"/>
        <v>85.42483660130719</v>
      </c>
      <c r="K869" s="254"/>
    </row>
    <row r="870" spans="1:11" ht="24">
      <c r="A870" s="87" t="s">
        <v>745</v>
      </c>
      <c r="B870" s="85" t="s">
        <v>1788</v>
      </c>
      <c r="C870" s="85" t="s">
        <v>142</v>
      </c>
      <c r="D870" s="85" t="s">
        <v>68</v>
      </c>
      <c r="E870" s="85" t="s">
        <v>746</v>
      </c>
      <c r="F870" s="90">
        <v>860</v>
      </c>
      <c r="G870" s="90"/>
      <c r="H870" s="201"/>
      <c r="I870" s="379">
        <f>H870/F870*100</f>
        <v>0</v>
      </c>
      <c r="J870" s="379"/>
      <c r="K870" s="254"/>
    </row>
    <row r="871" spans="1:11" ht="24">
      <c r="A871" s="87" t="s">
        <v>379</v>
      </c>
      <c r="B871" s="85" t="s">
        <v>1788</v>
      </c>
      <c r="C871" s="85" t="s">
        <v>142</v>
      </c>
      <c r="D871" s="85" t="s">
        <v>1515</v>
      </c>
      <c r="E871" s="85" t="s">
        <v>1071</v>
      </c>
      <c r="F871" s="243">
        <f>F872</f>
        <v>0</v>
      </c>
      <c r="G871" s="243">
        <f>G872</f>
        <v>50575.5</v>
      </c>
      <c r="H871" s="243">
        <f>H872</f>
        <v>50575.5</v>
      </c>
      <c r="I871" s="379"/>
      <c r="J871" s="379">
        <f t="shared" si="57"/>
        <v>100</v>
      </c>
      <c r="K871" s="254"/>
    </row>
    <row r="872" spans="1:11" ht="15">
      <c r="A872" s="87" t="s">
        <v>1355</v>
      </c>
      <c r="B872" s="85" t="s">
        <v>1788</v>
      </c>
      <c r="C872" s="85" t="s">
        <v>142</v>
      </c>
      <c r="D872" s="85" t="s">
        <v>1515</v>
      </c>
      <c r="E872" s="85" t="s">
        <v>744</v>
      </c>
      <c r="F872" s="90"/>
      <c r="G872" s="90">
        <v>50575.5</v>
      </c>
      <c r="H872" s="201">
        <v>50575.5</v>
      </c>
      <c r="I872" s="379"/>
      <c r="J872" s="379">
        <f t="shared" si="57"/>
        <v>100</v>
      </c>
      <c r="K872" s="254"/>
    </row>
    <row r="873" spans="1:11" ht="15">
      <c r="A873" s="86" t="s">
        <v>909</v>
      </c>
      <c r="B873" s="85" t="s">
        <v>1788</v>
      </c>
      <c r="C873" s="85" t="s">
        <v>142</v>
      </c>
      <c r="D873" s="85" t="s">
        <v>910</v>
      </c>
      <c r="E873" s="85"/>
      <c r="F873" s="243">
        <f>F874+F877</f>
        <v>9290</v>
      </c>
      <c r="G873" s="243">
        <f>G874+G877</f>
        <v>39202.600000000006</v>
      </c>
      <c r="H873" s="243">
        <f>H874+H877</f>
        <v>36043.6</v>
      </c>
      <c r="I873" s="421" t="s">
        <v>1212</v>
      </c>
      <c r="J873" s="379">
        <f t="shared" si="57"/>
        <v>91.94186099901536</v>
      </c>
      <c r="K873" s="254"/>
    </row>
    <row r="874" spans="1:11" ht="24">
      <c r="A874" s="87" t="s">
        <v>1156</v>
      </c>
      <c r="B874" s="85" t="s">
        <v>1788</v>
      </c>
      <c r="C874" s="85" t="s">
        <v>142</v>
      </c>
      <c r="D874" s="85" t="s">
        <v>741</v>
      </c>
      <c r="E874" s="85" t="s">
        <v>1071</v>
      </c>
      <c r="F874" s="243">
        <f>F875</f>
        <v>9290</v>
      </c>
      <c r="G874" s="243"/>
      <c r="H874" s="201"/>
      <c r="I874" s="379">
        <f>H874/F874*100</f>
        <v>0</v>
      </c>
      <c r="J874" s="379"/>
      <c r="K874" s="254"/>
    </row>
    <row r="875" spans="1:11" ht="15">
      <c r="A875" s="87" t="s">
        <v>743</v>
      </c>
      <c r="B875" s="85" t="s">
        <v>1788</v>
      </c>
      <c r="C875" s="85" t="s">
        <v>142</v>
      </c>
      <c r="D875" s="85" t="s">
        <v>741</v>
      </c>
      <c r="E875" s="85" t="s">
        <v>744</v>
      </c>
      <c r="F875" s="243">
        <f>F876</f>
        <v>9290</v>
      </c>
      <c r="G875" s="243"/>
      <c r="H875" s="201"/>
      <c r="I875" s="379">
        <f>H875/F875*100</f>
        <v>0</v>
      </c>
      <c r="J875" s="379"/>
      <c r="K875" s="254"/>
    </row>
    <row r="876" spans="1:11" ht="24">
      <c r="A876" s="87" t="s">
        <v>745</v>
      </c>
      <c r="B876" s="85" t="s">
        <v>1788</v>
      </c>
      <c r="C876" s="85" t="s">
        <v>142</v>
      </c>
      <c r="D876" s="85" t="s">
        <v>741</v>
      </c>
      <c r="E876" s="85" t="s">
        <v>746</v>
      </c>
      <c r="F876" s="90">
        <v>9290</v>
      </c>
      <c r="G876" s="243"/>
      <c r="H876" s="201"/>
      <c r="I876" s="379">
        <f>H876/F876*100</f>
        <v>0</v>
      </c>
      <c r="J876" s="379"/>
      <c r="K876" s="254"/>
    </row>
    <row r="877" spans="1:11" ht="24">
      <c r="A877" s="361" t="s">
        <v>380</v>
      </c>
      <c r="B877" s="85" t="s">
        <v>1788</v>
      </c>
      <c r="C877" s="85" t="s">
        <v>142</v>
      </c>
      <c r="D877" s="83" t="s">
        <v>381</v>
      </c>
      <c r="E877" s="83" t="s">
        <v>1071</v>
      </c>
      <c r="F877" s="243">
        <f>F878</f>
        <v>0</v>
      </c>
      <c r="G877" s="243">
        <f>G878</f>
        <v>39202.600000000006</v>
      </c>
      <c r="H877" s="243">
        <f>H878</f>
        <v>36043.6</v>
      </c>
      <c r="I877" s="379"/>
      <c r="J877" s="379">
        <f t="shared" si="57"/>
        <v>91.94186099901536</v>
      </c>
      <c r="K877" s="254"/>
    </row>
    <row r="878" spans="1:11" ht="15">
      <c r="A878" s="87" t="s">
        <v>743</v>
      </c>
      <c r="B878" s="85" t="s">
        <v>1788</v>
      </c>
      <c r="C878" s="85" t="s">
        <v>142</v>
      </c>
      <c r="D878" s="83" t="s">
        <v>381</v>
      </c>
      <c r="E878" s="83" t="s">
        <v>744</v>
      </c>
      <c r="F878" s="243">
        <f>F880</f>
        <v>0</v>
      </c>
      <c r="G878" s="243">
        <f>G880</f>
        <v>39202.600000000006</v>
      </c>
      <c r="H878" s="243">
        <f>H880</f>
        <v>36043.6</v>
      </c>
      <c r="I878" s="379"/>
      <c r="J878" s="379">
        <f t="shared" si="57"/>
        <v>91.94186099901536</v>
      </c>
      <c r="K878" s="254"/>
    </row>
    <row r="879" spans="1:11" ht="24">
      <c r="A879" s="87" t="s">
        <v>745</v>
      </c>
      <c r="B879" s="85" t="s">
        <v>1788</v>
      </c>
      <c r="C879" s="85" t="s">
        <v>142</v>
      </c>
      <c r="D879" s="83" t="s">
        <v>381</v>
      </c>
      <c r="E879" s="83" t="s">
        <v>746</v>
      </c>
      <c r="F879" s="90">
        <v>0</v>
      </c>
      <c r="G879" s="90">
        <v>0</v>
      </c>
      <c r="H879" s="201"/>
      <c r="I879" s="379"/>
      <c r="J879" s="379"/>
      <c r="K879" s="254"/>
    </row>
    <row r="880" spans="1:11" ht="15">
      <c r="A880" s="87" t="s">
        <v>375</v>
      </c>
      <c r="B880" s="85" t="s">
        <v>1788</v>
      </c>
      <c r="C880" s="85" t="s">
        <v>142</v>
      </c>
      <c r="D880" s="83" t="s">
        <v>381</v>
      </c>
      <c r="E880" s="83" t="s">
        <v>1637</v>
      </c>
      <c r="F880" s="90"/>
      <c r="G880" s="90">
        <f>G881+G882+G883+G884</f>
        <v>39202.600000000006</v>
      </c>
      <c r="H880" s="90">
        <f>H881+H882+H883+H884</f>
        <v>36043.6</v>
      </c>
      <c r="I880" s="379"/>
      <c r="J880" s="379">
        <f t="shared" si="57"/>
        <v>91.94186099901536</v>
      </c>
      <c r="K880" s="254"/>
    </row>
    <row r="881" spans="1:11" ht="24">
      <c r="A881" s="87" t="s">
        <v>1512</v>
      </c>
      <c r="B881" s="85" t="s">
        <v>1788</v>
      </c>
      <c r="C881" s="85" t="s">
        <v>142</v>
      </c>
      <c r="D881" s="83" t="s">
        <v>381</v>
      </c>
      <c r="E881" s="83" t="s">
        <v>1637</v>
      </c>
      <c r="F881" s="90"/>
      <c r="G881" s="90">
        <f>286-86.1-86.1</f>
        <v>113.80000000000001</v>
      </c>
      <c r="H881" s="201">
        <v>113.7</v>
      </c>
      <c r="I881" s="379"/>
      <c r="J881" s="379">
        <f t="shared" si="57"/>
        <v>99.91212653778558</v>
      </c>
      <c r="K881" s="254"/>
    </row>
    <row r="882" spans="1:11" ht="36">
      <c r="A882" s="87" t="s">
        <v>1513</v>
      </c>
      <c r="B882" s="85" t="s">
        <v>1788</v>
      </c>
      <c r="C882" s="85" t="s">
        <v>142</v>
      </c>
      <c r="D882" s="83" t="s">
        <v>381</v>
      </c>
      <c r="E882" s="83" t="s">
        <v>1637</v>
      </c>
      <c r="F882" s="90"/>
      <c r="G882" s="90">
        <f>15601.1-5487+11454.3+99.7+200.6-148.6+194.1+49.5+114.7+174.3+100+389+1266.9-500+71.3</f>
        <v>23579.9</v>
      </c>
      <c r="H882" s="201">
        <v>20922.9</v>
      </c>
      <c r="I882" s="379"/>
      <c r="J882" s="379">
        <f t="shared" si="57"/>
        <v>88.7319284644973</v>
      </c>
      <c r="K882" s="254"/>
    </row>
    <row r="883" spans="1:11" ht="48">
      <c r="A883" s="87" t="s">
        <v>1500</v>
      </c>
      <c r="B883" s="85" t="s">
        <v>1788</v>
      </c>
      <c r="C883" s="85" t="s">
        <v>142</v>
      </c>
      <c r="D883" s="83" t="s">
        <v>381</v>
      </c>
      <c r="E883" s="83" t="s">
        <v>1637</v>
      </c>
      <c r="F883" s="90"/>
      <c r="G883" s="90">
        <f>5487-598.2+139.7</f>
        <v>5028.5</v>
      </c>
      <c r="H883" s="201">
        <v>5027.9</v>
      </c>
      <c r="I883" s="379"/>
      <c r="J883" s="379">
        <f t="shared" si="57"/>
        <v>99.9880680123297</v>
      </c>
      <c r="K883" s="254"/>
    </row>
    <row r="884" spans="1:11" ht="15">
      <c r="A884" s="87" t="s">
        <v>494</v>
      </c>
      <c r="B884" s="85" t="s">
        <v>1788</v>
      </c>
      <c r="C884" s="85" t="s">
        <v>142</v>
      </c>
      <c r="D884" s="83" t="s">
        <v>381</v>
      </c>
      <c r="E884" s="83" t="s">
        <v>1637</v>
      </c>
      <c r="F884" s="90"/>
      <c r="G884" s="90">
        <f>8920.2+810.2+750</f>
        <v>10480.400000000001</v>
      </c>
      <c r="H884" s="201">
        <v>9979.1</v>
      </c>
      <c r="I884" s="379"/>
      <c r="J884" s="379">
        <f t="shared" si="57"/>
        <v>95.21678561886951</v>
      </c>
      <c r="K884" s="254"/>
    </row>
    <row r="885" spans="1:11" ht="15">
      <c r="A885" s="106" t="s">
        <v>971</v>
      </c>
      <c r="B885" s="85" t="s">
        <v>1788</v>
      </c>
      <c r="C885" s="85" t="s">
        <v>1598</v>
      </c>
      <c r="D885" s="85"/>
      <c r="E885" s="85"/>
      <c r="F885" s="243">
        <f>F886+F888+F890+F893</f>
        <v>1423</v>
      </c>
      <c r="G885" s="243">
        <f>G886+G888+G890+G893</f>
        <v>1462</v>
      </c>
      <c r="H885" s="243">
        <f>H886+H888+H890+H893</f>
        <v>256.9</v>
      </c>
      <c r="I885" s="379">
        <f>H885/F885*100</f>
        <v>18.053408292340126</v>
      </c>
      <c r="J885" s="379">
        <f t="shared" si="57"/>
        <v>17.571819425444595</v>
      </c>
      <c r="K885" s="254"/>
    </row>
    <row r="886" spans="1:11" ht="24">
      <c r="A886" s="92" t="s">
        <v>1514</v>
      </c>
      <c r="B886" s="83" t="s">
        <v>1788</v>
      </c>
      <c r="C886" s="83" t="s">
        <v>1598</v>
      </c>
      <c r="D886" s="83" t="s">
        <v>1693</v>
      </c>
      <c r="E886" s="83" t="s">
        <v>1071</v>
      </c>
      <c r="F886" s="243">
        <f>F887</f>
        <v>0</v>
      </c>
      <c r="G886" s="243">
        <f>G887</f>
        <v>230</v>
      </c>
      <c r="H886" s="243">
        <f>H887</f>
        <v>214.4</v>
      </c>
      <c r="I886" s="379"/>
      <c r="J886" s="379">
        <f t="shared" si="57"/>
        <v>93.21739130434783</v>
      </c>
      <c r="K886" s="254"/>
    </row>
    <row r="887" spans="1:11" ht="15">
      <c r="A887" s="87" t="s">
        <v>1355</v>
      </c>
      <c r="B887" s="85" t="s">
        <v>1788</v>
      </c>
      <c r="C887" s="85" t="s">
        <v>1598</v>
      </c>
      <c r="D887" s="83" t="s">
        <v>1693</v>
      </c>
      <c r="E887" s="85" t="s">
        <v>744</v>
      </c>
      <c r="F887" s="90"/>
      <c r="G887" s="90">
        <v>230</v>
      </c>
      <c r="H887" s="201">
        <v>214.4</v>
      </c>
      <c r="I887" s="379"/>
      <c r="J887" s="379">
        <f t="shared" si="57"/>
        <v>93.21739130434783</v>
      </c>
      <c r="K887" s="254"/>
    </row>
    <row r="888" spans="1:11" ht="36">
      <c r="A888" s="92" t="s">
        <v>1796</v>
      </c>
      <c r="B888" s="85" t="s">
        <v>1788</v>
      </c>
      <c r="C888" s="85" t="s">
        <v>1598</v>
      </c>
      <c r="D888" s="85" t="s">
        <v>372</v>
      </c>
      <c r="E888" s="85" t="s">
        <v>1071</v>
      </c>
      <c r="F888" s="243">
        <f>F889</f>
        <v>0</v>
      </c>
      <c r="G888" s="243">
        <f>G889</f>
        <v>1193</v>
      </c>
      <c r="H888" s="243">
        <f>H889</f>
        <v>42.5</v>
      </c>
      <c r="I888" s="379"/>
      <c r="J888" s="379">
        <f t="shared" si="57"/>
        <v>3.562447611064543</v>
      </c>
      <c r="K888" s="254"/>
    </row>
    <row r="889" spans="1:11" ht="15" customHeight="1">
      <c r="A889" s="87" t="s">
        <v>1355</v>
      </c>
      <c r="B889" s="85" t="s">
        <v>1788</v>
      </c>
      <c r="C889" s="85" t="s">
        <v>1598</v>
      </c>
      <c r="D889" s="85" t="s">
        <v>372</v>
      </c>
      <c r="E889" s="85" t="s">
        <v>744</v>
      </c>
      <c r="F889" s="90"/>
      <c r="G889" s="90">
        <v>1193</v>
      </c>
      <c r="H889" s="201">
        <v>42.5</v>
      </c>
      <c r="I889" s="379"/>
      <c r="J889" s="379">
        <f t="shared" si="57"/>
        <v>3.562447611064543</v>
      </c>
      <c r="K889" s="254"/>
    </row>
    <row r="890" spans="1:11" ht="15" customHeight="1">
      <c r="A890" s="87" t="s">
        <v>57</v>
      </c>
      <c r="B890" s="85" t="s">
        <v>1788</v>
      </c>
      <c r="C890" s="85" t="s">
        <v>1598</v>
      </c>
      <c r="D890" s="85" t="s">
        <v>58</v>
      </c>
      <c r="E890" s="85" t="s">
        <v>1071</v>
      </c>
      <c r="F890" s="243">
        <f>F891</f>
        <v>1423</v>
      </c>
      <c r="G890" s="90"/>
      <c r="H890" s="201"/>
      <c r="I890" s="379"/>
      <c r="J890" s="379"/>
      <c r="K890" s="254"/>
    </row>
    <row r="891" spans="1:11" ht="15" customHeight="1">
      <c r="A891" s="87" t="s">
        <v>743</v>
      </c>
      <c r="B891" s="85" t="s">
        <v>1788</v>
      </c>
      <c r="C891" s="85" t="s">
        <v>1598</v>
      </c>
      <c r="D891" s="85" t="s">
        <v>58</v>
      </c>
      <c r="E891" s="85" t="s">
        <v>744</v>
      </c>
      <c r="F891" s="243">
        <f>F892</f>
        <v>1423</v>
      </c>
      <c r="G891" s="90"/>
      <c r="H891" s="201"/>
      <c r="I891" s="379"/>
      <c r="J891" s="379"/>
      <c r="K891" s="254"/>
    </row>
    <row r="892" spans="1:11" ht="15" customHeight="1">
      <c r="A892" s="87" t="s">
        <v>745</v>
      </c>
      <c r="B892" s="85" t="s">
        <v>1788</v>
      </c>
      <c r="C892" s="85" t="s">
        <v>1598</v>
      </c>
      <c r="D892" s="85" t="s">
        <v>58</v>
      </c>
      <c r="E892" s="85" t="s">
        <v>746</v>
      </c>
      <c r="F892" s="90">
        <v>1423</v>
      </c>
      <c r="G892" s="90"/>
      <c r="H892" s="201"/>
      <c r="I892" s="379"/>
      <c r="J892" s="379"/>
      <c r="K892" s="254"/>
    </row>
    <row r="893" spans="1:11" ht="15">
      <c r="A893" s="86" t="s">
        <v>909</v>
      </c>
      <c r="B893" s="85" t="s">
        <v>1788</v>
      </c>
      <c r="C893" s="85" t="s">
        <v>1598</v>
      </c>
      <c r="D893" s="85" t="s">
        <v>910</v>
      </c>
      <c r="E893" s="85"/>
      <c r="F893" s="243">
        <f aca="true" t="shared" si="58" ref="F893:H895">F894</f>
        <v>0</v>
      </c>
      <c r="G893" s="243">
        <f t="shared" si="58"/>
        <v>39</v>
      </c>
      <c r="H893" s="243">
        <f t="shared" si="58"/>
        <v>0</v>
      </c>
      <c r="I893" s="379"/>
      <c r="J893" s="379">
        <f t="shared" si="57"/>
        <v>0</v>
      </c>
      <c r="K893" s="254"/>
    </row>
    <row r="894" spans="1:11" ht="24">
      <c r="A894" s="361" t="s">
        <v>380</v>
      </c>
      <c r="B894" s="85" t="s">
        <v>1788</v>
      </c>
      <c r="C894" s="85" t="s">
        <v>1598</v>
      </c>
      <c r="D894" s="85" t="s">
        <v>381</v>
      </c>
      <c r="E894" s="85" t="s">
        <v>1071</v>
      </c>
      <c r="F894" s="243">
        <f t="shared" si="58"/>
        <v>0</v>
      </c>
      <c r="G894" s="243">
        <f t="shared" si="58"/>
        <v>39</v>
      </c>
      <c r="H894" s="243">
        <f t="shared" si="58"/>
        <v>0</v>
      </c>
      <c r="I894" s="379"/>
      <c r="J894" s="379">
        <f t="shared" si="57"/>
        <v>0</v>
      </c>
      <c r="K894" s="254"/>
    </row>
    <row r="895" spans="1:11" ht="15">
      <c r="A895" s="87" t="s">
        <v>375</v>
      </c>
      <c r="B895" s="85" t="s">
        <v>1788</v>
      </c>
      <c r="C895" s="85" t="s">
        <v>1598</v>
      </c>
      <c r="D895" s="85" t="s">
        <v>381</v>
      </c>
      <c r="E895" s="85" t="s">
        <v>1637</v>
      </c>
      <c r="F895" s="243">
        <f t="shared" si="58"/>
        <v>0</v>
      </c>
      <c r="G895" s="243">
        <f t="shared" si="58"/>
        <v>39</v>
      </c>
      <c r="H895" s="243">
        <f t="shared" si="58"/>
        <v>0</v>
      </c>
      <c r="I895" s="379"/>
      <c r="J895" s="379">
        <f t="shared" si="57"/>
        <v>0</v>
      </c>
      <c r="K895" s="254"/>
    </row>
    <row r="896" spans="1:11" ht="36">
      <c r="A896" s="87" t="s">
        <v>1797</v>
      </c>
      <c r="B896" s="85" t="s">
        <v>1788</v>
      </c>
      <c r="C896" s="85" t="s">
        <v>1598</v>
      </c>
      <c r="D896" s="85" t="s">
        <v>381</v>
      </c>
      <c r="E896" s="85" t="s">
        <v>1637</v>
      </c>
      <c r="F896" s="90"/>
      <c r="G896" s="90">
        <v>39</v>
      </c>
      <c r="H896" s="201"/>
      <c r="I896" s="379"/>
      <c r="J896" s="379">
        <f t="shared" si="57"/>
        <v>0</v>
      </c>
      <c r="K896" s="254"/>
    </row>
    <row r="897" spans="1:11" ht="15">
      <c r="A897" s="106" t="s">
        <v>973</v>
      </c>
      <c r="B897" s="85" t="s">
        <v>1788</v>
      </c>
      <c r="C897" s="85" t="s">
        <v>1603</v>
      </c>
      <c r="D897" s="85"/>
      <c r="E897" s="85"/>
      <c r="F897" s="243">
        <f>F898+F909+F914</f>
        <v>114642.5</v>
      </c>
      <c r="G897" s="243">
        <f>G898+G909+G914</f>
        <v>114715</v>
      </c>
      <c r="H897" s="243">
        <f>H898+H909+H914</f>
        <v>113270.7</v>
      </c>
      <c r="I897" s="379">
        <f>H897/F897*100</f>
        <v>98.80341060252525</v>
      </c>
      <c r="J897" s="379">
        <f t="shared" si="57"/>
        <v>98.74096674366909</v>
      </c>
      <c r="K897" s="254"/>
    </row>
    <row r="898" spans="1:11" ht="15">
      <c r="A898" s="86" t="s">
        <v>69</v>
      </c>
      <c r="B898" s="85" t="s">
        <v>1788</v>
      </c>
      <c r="C898" s="85" t="s">
        <v>1603</v>
      </c>
      <c r="D898" s="85" t="s">
        <v>70</v>
      </c>
      <c r="E898" s="85"/>
      <c r="F898" s="243">
        <f>F899+F901+F903</f>
        <v>108032.5</v>
      </c>
      <c r="G898" s="243">
        <f>G899+G901+G903</f>
        <v>108573</v>
      </c>
      <c r="H898" s="243">
        <f>H899+H901+H903</f>
        <v>108196.4</v>
      </c>
      <c r="I898" s="379">
        <f>H898/F898*100</f>
        <v>100.15171360470228</v>
      </c>
      <c r="J898" s="379">
        <f t="shared" si="57"/>
        <v>99.6531365993387</v>
      </c>
      <c r="K898" s="254"/>
    </row>
    <row r="899" spans="1:11" ht="24">
      <c r="A899" s="92" t="s">
        <v>1798</v>
      </c>
      <c r="B899" s="85" t="s">
        <v>1788</v>
      </c>
      <c r="C899" s="85" t="s">
        <v>1603</v>
      </c>
      <c r="D899" s="85" t="s">
        <v>1799</v>
      </c>
      <c r="E899" s="85" t="s">
        <v>1071</v>
      </c>
      <c r="F899" s="243">
        <f>F900</f>
        <v>0</v>
      </c>
      <c r="G899" s="243">
        <f>G900</f>
        <v>106253</v>
      </c>
      <c r="H899" s="243">
        <f>H900</f>
        <v>105950</v>
      </c>
      <c r="I899" s="379"/>
      <c r="J899" s="379">
        <f t="shared" si="57"/>
        <v>99.71483158122594</v>
      </c>
      <c r="K899" s="254"/>
    </row>
    <row r="900" spans="1:11" ht="15">
      <c r="A900" s="87" t="s">
        <v>819</v>
      </c>
      <c r="B900" s="85" t="s">
        <v>1788</v>
      </c>
      <c r="C900" s="85" t="s">
        <v>1603</v>
      </c>
      <c r="D900" s="85" t="s">
        <v>1799</v>
      </c>
      <c r="E900" s="85" t="s">
        <v>744</v>
      </c>
      <c r="F900" s="90"/>
      <c r="G900" s="90">
        <v>106253</v>
      </c>
      <c r="H900" s="201">
        <v>105950</v>
      </c>
      <c r="I900" s="379"/>
      <c r="J900" s="379">
        <f t="shared" si="57"/>
        <v>99.71483158122594</v>
      </c>
      <c r="K900" s="254"/>
    </row>
    <row r="901" spans="1:11" ht="36">
      <c r="A901" s="92" t="s">
        <v>1800</v>
      </c>
      <c r="B901" s="85" t="s">
        <v>1788</v>
      </c>
      <c r="C901" s="85" t="s">
        <v>1603</v>
      </c>
      <c r="D901" s="85" t="s">
        <v>1801</v>
      </c>
      <c r="E901" s="85" t="s">
        <v>1071</v>
      </c>
      <c r="F901" s="243">
        <f>F902</f>
        <v>0</v>
      </c>
      <c r="G901" s="243">
        <f>G902</f>
        <v>1795</v>
      </c>
      <c r="H901" s="243">
        <f>H902</f>
        <v>1723.4</v>
      </c>
      <c r="I901" s="379"/>
      <c r="J901" s="379">
        <f t="shared" si="57"/>
        <v>96.01114206128133</v>
      </c>
      <c r="K901" s="254"/>
    </row>
    <row r="902" spans="1:11" ht="15">
      <c r="A902" s="87" t="s">
        <v>819</v>
      </c>
      <c r="B902" s="85" t="s">
        <v>1788</v>
      </c>
      <c r="C902" s="85" t="s">
        <v>1603</v>
      </c>
      <c r="D902" s="85" t="s">
        <v>1801</v>
      </c>
      <c r="E902" s="85" t="s">
        <v>744</v>
      </c>
      <c r="F902" s="90"/>
      <c r="G902" s="90">
        <v>1795</v>
      </c>
      <c r="H902" s="201">
        <v>1723.4</v>
      </c>
      <c r="I902" s="379"/>
      <c r="J902" s="379">
        <f t="shared" si="57"/>
        <v>96.01114206128133</v>
      </c>
      <c r="K902" s="254"/>
    </row>
    <row r="903" spans="1:11" ht="15">
      <c r="A903" s="87" t="s">
        <v>661</v>
      </c>
      <c r="B903" s="85" t="s">
        <v>1788</v>
      </c>
      <c r="C903" s="85" t="s">
        <v>1603</v>
      </c>
      <c r="D903" s="85" t="s">
        <v>71</v>
      </c>
      <c r="E903" s="85" t="s">
        <v>1071</v>
      </c>
      <c r="F903" s="243">
        <f>F904</f>
        <v>108032.5</v>
      </c>
      <c r="G903" s="243">
        <f>G904</f>
        <v>525</v>
      </c>
      <c r="H903" s="243">
        <f>H904</f>
        <v>523</v>
      </c>
      <c r="I903" s="379">
        <f>H903/F903*100</f>
        <v>0.48411357693286744</v>
      </c>
      <c r="J903" s="379">
        <f t="shared" si="57"/>
        <v>99.61904761904762</v>
      </c>
      <c r="K903" s="254"/>
    </row>
    <row r="904" spans="1:11" ht="15">
      <c r="A904" s="87" t="s">
        <v>819</v>
      </c>
      <c r="B904" s="85" t="s">
        <v>1788</v>
      </c>
      <c r="C904" s="85" t="s">
        <v>1603</v>
      </c>
      <c r="D904" s="85" t="s">
        <v>71</v>
      </c>
      <c r="E904" s="85" t="s">
        <v>744</v>
      </c>
      <c r="F904" s="243">
        <f>F905+F906</f>
        <v>108032.5</v>
      </c>
      <c r="G904" s="243">
        <f>G905+G906</f>
        <v>525</v>
      </c>
      <c r="H904" s="243">
        <f>H905+H906</f>
        <v>523</v>
      </c>
      <c r="I904" s="379">
        <f>H904/F904*100</f>
        <v>0.48411357693286744</v>
      </c>
      <c r="J904" s="379">
        <f t="shared" si="57"/>
        <v>99.61904761904762</v>
      </c>
      <c r="K904" s="254"/>
    </row>
    <row r="905" spans="1:11" ht="24">
      <c r="A905" s="87" t="s">
        <v>745</v>
      </c>
      <c r="B905" s="85" t="s">
        <v>1788</v>
      </c>
      <c r="C905" s="85" t="s">
        <v>1603</v>
      </c>
      <c r="D905" s="85" t="s">
        <v>71</v>
      </c>
      <c r="E905" s="85" t="s">
        <v>746</v>
      </c>
      <c r="F905" s="90">
        <v>107746</v>
      </c>
      <c r="G905" s="90">
        <v>100</v>
      </c>
      <c r="H905" s="201">
        <v>98</v>
      </c>
      <c r="I905" s="379">
        <f>H905/F905*100</f>
        <v>0.09095465260891356</v>
      </c>
      <c r="J905" s="379">
        <f t="shared" si="57"/>
        <v>98</v>
      </c>
      <c r="K905" s="254"/>
    </row>
    <row r="906" spans="1:11" ht="15">
      <c r="A906" s="87" t="s">
        <v>375</v>
      </c>
      <c r="B906" s="85" t="s">
        <v>1788</v>
      </c>
      <c r="C906" s="85" t="s">
        <v>1603</v>
      </c>
      <c r="D906" s="85" t="s">
        <v>71</v>
      </c>
      <c r="E906" s="85" t="s">
        <v>1637</v>
      </c>
      <c r="F906" s="243">
        <f>F907+F908</f>
        <v>286.5</v>
      </c>
      <c r="G906" s="243">
        <f>G907+G908</f>
        <v>425</v>
      </c>
      <c r="H906" s="243">
        <f>H907+H908</f>
        <v>425</v>
      </c>
      <c r="I906" s="379">
        <f>H906/F906*100</f>
        <v>148.34205933682375</v>
      </c>
      <c r="J906" s="379">
        <f t="shared" si="57"/>
        <v>100</v>
      </c>
      <c r="K906" s="254"/>
    </row>
    <row r="907" spans="1:11" ht="36">
      <c r="A907" s="87" t="s">
        <v>1802</v>
      </c>
      <c r="B907" s="85" t="s">
        <v>1788</v>
      </c>
      <c r="C907" s="85" t="s">
        <v>1603</v>
      </c>
      <c r="D907" s="85" t="s">
        <v>71</v>
      </c>
      <c r="E907" s="85" t="s">
        <v>1637</v>
      </c>
      <c r="F907" s="90"/>
      <c r="G907" s="90">
        <v>425</v>
      </c>
      <c r="H907" s="201">
        <v>425</v>
      </c>
      <c r="I907" s="379"/>
      <c r="J907" s="379">
        <f t="shared" si="57"/>
        <v>100</v>
      </c>
      <c r="K907" s="254"/>
    </row>
    <row r="908" spans="1:11" ht="36">
      <c r="A908" s="87" t="s">
        <v>1803</v>
      </c>
      <c r="B908" s="85" t="s">
        <v>1788</v>
      </c>
      <c r="C908" s="85" t="s">
        <v>1603</v>
      </c>
      <c r="D908" s="85" t="s">
        <v>1804</v>
      </c>
      <c r="E908" s="85" t="s">
        <v>1637</v>
      </c>
      <c r="F908" s="90">
        <v>286.5</v>
      </c>
      <c r="G908" s="90">
        <f>286.5-286.5</f>
        <v>0</v>
      </c>
      <c r="H908" s="201"/>
      <c r="I908" s="379">
        <f>H908/F908*100</f>
        <v>0</v>
      </c>
      <c r="J908" s="379"/>
      <c r="K908" s="254"/>
    </row>
    <row r="909" spans="1:11" ht="15">
      <c r="A909" s="363" t="s">
        <v>848</v>
      </c>
      <c r="B909" s="85" t="s">
        <v>1788</v>
      </c>
      <c r="C909" s="85" t="s">
        <v>1603</v>
      </c>
      <c r="D909" s="85" t="s">
        <v>849</v>
      </c>
      <c r="E909" s="85"/>
      <c r="F909" s="243">
        <f aca="true" t="shared" si="59" ref="F909:H911">F910</f>
        <v>6185</v>
      </c>
      <c r="G909" s="243">
        <f t="shared" si="59"/>
        <v>5804</v>
      </c>
      <c r="H909" s="243">
        <f t="shared" si="59"/>
        <v>4742.6</v>
      </c>
      <c r="I909" s="379">
        <f>H909/F909*100</f>
        <v>76.67906224737268</v>
      </c>
      <c r="J909" s="379">
        <f t="shared" si="57"/>
        <v>81.71261199172984</v>
      </c>
      <c r="K909" s="254"/>
    </row>
    <row r="910" spans="1:11" ht="36">
      <c r="A910" s="87" t="s">
        <v>1511</v>
      </c>
      <c r="B910" s="85" t="s">
        <v>1788</v>
      </c>
      <c r="C910" s="85" t="s">
        <v>1603</v>
      </c>
      <c r="D910" s="85" t="s">
        <v>68</v>
      </c>
      <c r="E910" s="85" t="s">
        <v>1071</v>
      </c>
      <c r="F910" s="243">
        <f t="shared" si="59"/>
        <v>6185</v>
      </c>
      <c r="G910" s="243">
        <f t="shared" si="59"/>
        <v>5804</v>
      </c>
      <c r="H910" s="243">
        <f t="shared" si="59"/>
        <v>4742.6</v>
      </c>
      <c r="I910" s="379">
        <f>H910/F910*100</f>
        <v>76.67906224737268</v>
      </c>
      <c r="J910" s="379">
        <f aca="true" t="shared" si="60" ref="J910:J973">H910/G910*100</f>
        <v>81.71261199172984</v>
      </c>
      <c r="K910" s="254"/>
    </row>
    <row r="911" spans="1:11" ht="15">
      <c r="A911" s="87" t="s">
        <v>743</v>
      </c>
      <c r="B911" s="85" t="s">
        <v>1788</v>
      </c>
      <c r="C911" s="85" t="s">
        <v>1603</v>
      </c>
      <c r="D911" s="85" t="s">
        <v>68</v>
      </c>
      <c r="E911" s="85" t="s">
        <v>744</v>
      </c>
      <c r="F911" s="243">
        <f>F912+F913</f>
        <v>6185</v>
      </c>
      <c r="G911" s="243">
        <f t="shared" si="59"/>
        <v>5804</v>
      </c>
      <c r="H911" s="243">
        <f t="shared" si="59"/>
        <v>4742.6</v>
      </c>
      <c r="I911" s="379">
        <f>H911/F911*100</f>
        <v>76.67906224737268</v>
      </c>
      <c r="J911" s="379">
        <f t="shared" si="60"/>
        <v>81.71261199172984</v>
      </c>
      <c r="K911" s="254"/>
    </row>
    <row r="912" spans="1:11" ht="24">
      <c r="A912" s="87" t="s">
        <v>745</v>
      </c>
      <c r="B912" s="85" t="s">
        <v>1788</v>
      </c>
      <c r="C912" s="85" t="s">
        <v>1603</v>
      </c>
      <c r="D912" s="85" t="s">
        <v>68</v>
      </c>
      <c r="E912" s="85" t="s">
        <v>744</v>
      </c>
      <c r="F912" s="90"/>
      <c r="G912" s="90">
        <v>5804</v>
      </c>
      <c r="H912" s="201">
        <v>4742.6</v>
      </c>
      <c r="I912" s="379"/>
      <c r="J912" s="379">
        <f t="shared" si="60"/>
        <v>81.71261199172984</v>
      </c>
      <c r="K912" s="254"/>
    </row>
    <row r="913" spans="1:11" ht="24">
      <c r="A913" s="87" t="s">
        <v>745</v>
      </c>
      <c r="B913" s="85" t="s">
        <v>1788</v>
      </c>
      <c r="C913" s="85" t="s">
        <v>1603</v>
      </c>
      <c r="D913" s="85" t="s">
        <v>68</v>
      </c>
      <c r="E913" s="85" t="s">
        <v>746</v>
      </c>
      <c r="F913" s="90">
        <v>6185</v>
      </c>
      <c r="G913" s="90"/>
      <c r="H913" s="201"/>
      <c r="I913" s="379">
        <f>H913/F913*100</f>
        <v>0</v>
      </c>
      <c r="J913" s="379"/>
      <c r="K913" s="254"/>
    </row>
    <row r="914" spans="1:11" ht="15">
      <c r="A914" s="86" t="s">
        <v>909</v>
      </c>
      <c r="B914" s="85" t="s">
        <v>1788</v>
      </c>
      <c r="C914" s="85" t="s">
        <v>1603</v>
      </c>
      <c r="D914" s="85" t="s">
        <v>910</v>
      </c>
      <c r="E914" s="85"/>
      <c r="F914" s="243">
        <f>F915+F918</f>
        <v>425</v>
      </c>
      <c r="G914" s="243">
        <f>G915+G918</f>
        <v>338</v>
      </c>
      <c r="H914" s="243">
        <f>H915+H918</f>
        <v>331.70000000000005</v>
      </c>
      <c r="I914" s="379">
        <f>H914/F914*100</f>
        <v>78.04705882352943</v>
      </c>
      <c r="J914" s="379">
        <f t="shared" si="60"/>
        <v>98.13609467455623</v>
      </c>
      <c r="K914" s="254"/>
    </row>
    <row r="915" spans="1:11" ht="24">
      <c r="A915" s="358" t="s">
        <v>1156</v>
      </c>
      <c r="B915" s="85" t="s">
        <v>1788</v>
      </c>
      <c r="C915" s="85" t="s">
        <v>1603</v>
      </c>
      <c r="D915" s="85" t="s">
        <v>741</v>
      </c>
      <c r="E915" s="85" t="s">
        <v>1071</v>
      </c>
      <c r="F915" s="243">
        <f>F916</f>
        <v>425</v>
      </c>
      <c r="G915" s="243"/>
      <c r="H915" s="201"/>
      <c r="I915" s="379">
        <f>H915/F915*100</f>
        <v>0</v>
      </c>
      <c r="J915" s="379"/>
      <c r="K915" s="254"/>
    </row>
    <row r="916" spans="1:11" ht="15">
      <c r="A916" s="87" t="s">
        <v>819</v>
      </c>
      <c r="B916" s="85" t="s">
        <v>1788</v>
      </c>
      <c r="C916" s="85" t="s">
        <v>1603</v>
      </c>
      <c r="D916" s="85" t="s">
        <v>741</v>
      </c>
      <c r="E916" s="85" t="s">
        <v>744</v>
      </c>
      <c r="F916" s="243">
        <f>F917</f>
        <v>425</v>
      </c>
      <c r="G916" s="243"/>
      <c r="H916" s="201"/>
      <c r="I916" s="379">
        <f>H916/F916*100</f>
        <v>0</v>
      </c>
      <c r="J916" s="379"/>
      <c r="K916" s="254"/>
    </row>
    <row r="917" spans="1:11" ht="24">
      <c r="A917" s="87" t="s">
        <v>745</v>
      </c>
      <c r="B917" s="85" t="s">
        <v>1788</v>
      </c>
      <c r="C917" s="85" t="s">
        <v>1603</v>
      </c>
      <c r="D917" s="85" t="s">
        <v>741</v>
      </c>
      <c r="E917" s="85" t="s">
        <v>746</v>
      </c>
      <c r="F917" s="90">
        <v>425</v>
      </c>
      <c r="G917" s="243"/>
      <c r="H917" s="201"/>
      <c r="I917" s="379">
        <f>H917/F917*100</f>
        <v>0</v>
      </c>
      <c r="J917" s="379"/>
      <c r="K917" s="254"/>
    </row>
    <row r="918" spans="1:11" ht="24">
      <c r="A918" s="361" t="s">
        <v>380</v>
      </c>
      <c r="B918" s="85" t="s">
        <v>1788</v>
      </c>
      <c r="C918" s="85" t="s">
        <v>1603</v>
      </c>
      <c r="D918" s="83" t="s">
        <v>381</v>
      </c>
      <c r="E918" s="83" t="s">
        <v>1071</v>
      </c>
      <c r="F918" s="243">
        <f>F919</f>
        <v>0</v>
      </c>
      <c r="G918" s="243">
        <f>G919</f>
        <v>338</v>
      </c>
      <c r="H918" s="243">
        <f>H919</f>
        <v>331.70000000000005</v>
      </c>
      <c r="I918" s="379"/>
      <c r="J918" s="379">
        <f t="shared" si="60"/>
        <v>98.13609467455623</v>
      </c>
      <c r="K918" s="254"/>
    </row>
    <row r="919" spans="1:11" ht="15">
      <c r="A919" s="87" t="s">
        <v>375</v>
      </c>
      <c r="B919" s="85" t="s">
        <v>1788</v>
      </c>
      <c r="C919" s="85" t="s">
        <v>1603</v>
      </c>
      <c r="D919" s="83" t="s">
        <v>381</v>
      </c>
      <c r="E919" s="83" t="s">
        <v>1637</v>
      </c>
      <c r="F919" s="243">
        <f>F920+F921+F922+F923+F924</f>
        <v>0</v>
      </c>
      <c r="G919" s="243">
        <f>G920+G921+G922+G923+G924</f>
        <v>338</v>
      </c>
      <c r="H919" s="243">
        <f>H920+H921+H922+H923+H924</f>
        <v>331.70000000000005</v>
      </c>
      <c r="I919" s="379"/>
      <c r="J919" s="379">
        <f t="shared" si="60"/>
        <v>98.13609467455623</v>
      </c>
      <c r="K919" s="254"/>
    </row>
    <row r="920" spans="1:11" ht="15.75" hidden="1">
      <c r="A920" s="87" t="s">
        <v>745</v>
      </c>
      <c r="B920" s="85" t="s">
        <v>1788</v>
      </c>
      <c r="C920" s="85" t="s">
        <v>1603</v>
      </c>
      <c r="D920" s="83" t="s">
        <v>381</v>
      </c>
      <c r="E920" s="83" t="s">
        <v>746</v>
      </c>
      <c r="F920" s="90">
        <v>0</v>
      </c>
      <c r="G920" s="90">
        <v>0</v>
      </c>
      <c r="H920" s="201"/>
      <c r="I920" s="379"/>
      <c r="J920" s="379"/>
      <c r="K920" s="254"/>
    </row>
    <row r="921" spans="1:11" ht="36">
      <c r="A921" s="87" t="s">
        <v>1797</v>
      </c>
      <c r="B921" s="85" t="s">
        <v>1788</v>
      </c>
      <c r="C921" s="85" t="s">
        <v>1603</v>
      </c>
      <c r="D921" s="83" t="s">
        <v>381</v>
      </c>
      <c r="E921" s="83" t="s">
        <v>1637</v>
      </c>
      <c r="F921" s="90"/>
      <c r="G921" s="90">
        <f>42+98.8</f>
        <v>140.8</v>
      </c>
      <c r="H921" s="201">
        <v>135.6</v>
      </c>
      <c r="I921" s="379"/>
      <c r="J921" s="379">
        <f t="shared" si="60"/>
        <v>96.30681818181816</v>
      </c>
      <c r="K921" s="254"/>
    </row>
    <row r="922" spans="1:11" ht="36">
      <c r="A922" s="87" t="s">
        <v>1805</v>
      </c>
      <c r="B922" s="85" t="s">
        <v>1788</v>
      </c>
      <c r="C922" s="85" t="s">
        <v>1603</v>
      </c>
      <c r="D922" s="83" t="s">
        <v>381</v>
      </c>
      <c r="E922" s="83" t="s">
        <v>1637</v>
      </c>
      <c r="F922" s="90"/>
      <c r="G922" s="90">
        <f>286.5-225.4</f>
        <v>61.099999999999994</v>
      </c>
      <c r="H922" s="201">
        <v>61.1</v>
      </c>
      <c r="I922" s="379"/>
      <c r="J922" s="379">
        <f t="shared" si="60"/>
        <v>100.00000000000003</v>
      </c>
      <c r="K922" s="254"/>
    </row>
    <row r="923" spans="1:11" ht="36">
      <c r="A923" s="87" t="s">
        <v>1806</v>
      </c>
      <c r="B923" s="85" t="s">
        <v>1788</v>
      </c>
      <c r="C923" s="85" t="s">
        <v>1603</v>
      </c>
      <c r="D923" s="83" t="s">
        <v>381</v>
      </c>
      <c r="E923" s="83" t="s">
        <v>1637</v>
      </c>
      <c r="F923" s="90"/>
      <c r="G923" s="90">
        <f>450-350</f>
        <v>100</v>
      </c>
      <c r="H923" s="201">
        <v>98.9</v>
      </c>
      <c r="I923" s="379"/>
      <c r="J923" s="379">
        <f t="shared" si="60"/>
        <v>98.9</v>
      </c>
      <c r="K923" s="254"/>
    </row>
    <row r="924" spans="1:11" ht="24">
      <c r="A924" s="87" t="s">
        <v>1807</v>
      </c>
      <c r="B924" s="85" t="s">
        <v>1788</v>
      </c>
      <c r="C924" s="85" t="s">
        <v>1603</v>
      </c>
      <c r="D924" s="83" t="s">
        <v>381</v>
      </c>
      <c r="E924" s="83" t="s">
        <v>1637</v>
      </c>
      <c r="F924" s="90"/>
      <c r="G924" s="90">
        <f>100-63.9</f>
        <v>36.1</v>
      </c>
      <c r="H924" s="201">
        <v>36.1</v>
      </c>
      <c r="I924" s="379"/>
      <c r="J924" s="379">
        <f t="shared" si="60"/>
        <v>100</v>
      </c>
      <c r="K924" s="254"/>
    </row>
    <row r="925" spans="1:11" ht="24">
      <c r="A925" s="106" t="s">
        <v>975</v>
      </c>
      <c r="B925" s="85" t="s">
        <v>1788</v>
      </c>
      <c r="C925" s="85" t="s">
        <v>583</v>
      </c>
      <c r="D925" s="85"/>
      <c r="E925" s="85"/>
      <c r="F925" s="243">
        <f>F926+F937</f>
        <v>9615.3</v>
      </c>
      <c r="G925" s="243">
        <f>G926+G937</f>
        <v>9798.5</v>
      </c>
      <c r="H925" s="243">
        <f>H926+H937</f>
        <v>8468.099999999999</v>
      </c>
      <c r="I925" s="379">
        <f>H925/F925*100</f>
        <v>88.06901500733206</v>
      </c>
      <c r="J925" s="379">
        <f t="shared" si="60"/>
        <v>86.42241159361124</v>
      </c>
      <c r="K925" s="254"/>
    </row>
    <row r="926" spans="1:11" ht="15">
      <c r="A926" s="86" t="s">
        <v>72</v>
      </c>
      <c r="B926" s="85" t="s">
        <v>1788</v>
      </c>
      <c r="C926" s="85" t="s">
        <v>583</v>
      </c>
      <c r="D926" s="85" t="s">
        <v>73</v>
      </c>
      <c r="E926" s="85"/>
      <c r="F926" s="243">
        <f>F927+F929+F931</f>
        <v>9615.3</v>
      </c>
      <c r="G926" s="243">
        <f>G927+G929+G931</f>
        <v>8651</v>
      </c>
      <c r="H926" s="243">
        <f>H927+H929+H931</f>
        <v>7320.799999999999</v>
      </c>
      <c r="I926" s="379">
        <f>H926/F926*100</f>
        <v>76.13699000551205</v>
      </c>
      <c r="J926" s="379">
        <f t="shared" si="60"/>
        <v>84.62374291989364</v>
      </c>
      <c r="K926" s="254"/>
    </row>
    <row r="927" spans="1:11" ht="24">
      <c r="A927" s="92" t="s">
        <v>1808</v>
      </c>
      <c r="B927" s="85" t="s">
        <v>1788</v>
      </c>
      <c r="C927" s="85" t="s">
        <v>583</v>
      </c>
      <c r="D927" s="85" t="s">
        <v>1809</v>
      </c>
      <c r="E927" s="85" t="s">
        <v>1071</v>
      </c>
      <c r="F927" s="243">
        <f>F928</f>
        <v>0</v>
      </c>
      <c r="G927" s="243">
        <f>G928</f>
        <v>7668</v>
      </c>
      <c r="H927" s="243">
        <f>H928</f>
        <v>7235.9</v>
      </c>
      <c r="I927" s="379"/>
      <c r="J927" s="379">
        <f t="shared" si="60"/>
        <v>94.36489306207616</v>
      </c>
      <c r="K927" s="254"/>
    </row>
    <row r="928" spans="1:11" ht="15">
      <c r="A928" s="87" t="s">
        <v>819</v>
      </c>
      <c r="B928" s="85" t="s">
        <v>1788</v>
      </c>
      <c r="C928" s="85" t="s">
        <v>583</v>
      </c>
      <c r="D928" s="85" t="s">
        <v>1809</v>
      </c>
      <c r="E928" s="85" t="s">
        <v>744</v>
      </c>
      <c r="F928" s="90"/>
      <c r="G928" s="90">
        <v>7668</v>
      </c>
      <c r="H928" s="201">
        <v>7235.9</v>
      </c>
      <c r="I928" s="379"/>
      <c r="J928" s="379">
        <f t="shared" si="60"/>
        <v>94.36489306207616</v>
      </c>
      <c r="K928" s="254"/>
    </row>
    <row r="929" spans="1:11" ht="36">
      <c r="A929" s="92" t="s">
        <v>1810</v>
      </c>
      <c r="B929" s="85" t="s">
        <v>1788</v>
      </c>
      <c r="C929" s="85" t="s">
        <v>583</v>
      </c>
      <c r="D929" s="85" t="s">
        <v>1811</v>
      </c>
      <c r="E929" s="85" t="s">
        <v>1071</v>
      </c>
      <c r="F929" s="243">
        <f>F930</f>
        <v>0</v>
      </c>
      <c r="G929" s="243">
        <f>G930</f>
        <v>977</v>
      </c>
      <c r="H929" s="243">
        <f>H930</f>
        <v>78.9</v>
      </c>
      <c r="I929" s="379"/>
      <c r="J929" s="379">
        <f t="shared" si="60"/>
        <v>8.075742067553735</v>
      </c>
      <c r="K929" s="254"/>
    </row>
    <row r="930" spans="1:11" ht="15">
      <c r="A930" s="87" t="s">
        <v>819</v>
      </c>
      <c r="B930" s="85" t="s">
        <v>1788</v>
      </c>
      <c r="C930" s="85" t="s">
        <v>583</v>
      </c>
      <c r="D930" s="85" t="s">
        <v>1811</v>
      </c>
      <c r="E930" s="85" t="s">
        <v>744</v>
      </c>
      <c r="F930" s="90"/>
      <c r="G930" s="90">
        <v>977</v>
      </c>
      <c r="H930" s="201">
        <v>78.9</v>
      </c>
      <c r="I930" s="379"/>
      <c r="J930" s="379">
        <f t="shared" si="60"/>
        <v>8.075742067553735</v>
      </c>
      <c r="K930" s="254"/>
    </row>
    <row r="931" spans="1:11" ht="15">
      <c r="A931" s="87" t="s">
        <v>661</v>
      </c>
      <c r="B931" s="85" t="s">
        <v>1788</v>
      </c>
      <c r="C931" s="85" t="s">
        <v>583</v>
      </c>
      <c r="D931" s="85" t="s">
        <v>74</v>
      </c>
      <c r="E931" s="85" t="s">
        <v>1071</v>
      </c>
      <c r="F931" s="243">
        <f>F932</f>
        <v>9615.3</v>
      </c>
      <c r="G931" s="243">
        <f>G932</f>
        <v>6</v>
      </c>
      <c r="H931" s="243">
        <f>H932</f>
        <v>6</v>
      </c>
      <c r="I931" s="379">
        <f>H931/F931*100</f>
        <v>0.062400549124832304</v>
      </c>
      <c r="J931" s="379">
        <f t="shared" si="60"/>
        <v>100</v>
      </c>
      <c r="K931" s="254"/>
    </row>
    <row r="932" spans="1:11" ht="15">
      <c r="A932" s="87" t="s">
        <v>819</v>
      </c>
      <c r="B932" s="85" t="s">
        <v>1788</v>
      </c>
      <c r="C932" s="85" t="s">
        <v>583</v>
      </c>
      <c r="D932" s="85" t="s">
        <v>74</v>
      </c>
      <c r="E932" s="85" t="s">
        <v>744</v>
      </c>
      <c r="F932" s="243">
        <f>F933+F934</f>
        <v>9615.3</v>
      </c>
      <c r="G932" s="243">
        <f>G933+G934</f>
        <v>6</v>
      </c>
      <c r="H932" s="243">
        <f>H933+H934</f>
        <v>6</v>
      </c>
      <c r="I932" s="379">
        <f>H932/F932*100</f>
        <v>0.062400549124832304</v>
      </c>
      <c r="J932" s="379">
        <f t="shared" si="60"/>
        <v>100</v>
      </c>
      <c r="K932" s="254"/>
    </row>
    <row r="933" spans="1:11" ht="24">
      <c r="A933" s="87" t="s">
        <v>745</v>
      </c>
      <c r="B933" s="85" t="s">
        <v>1788</v>
      </c>
      <c r="C933" s="85" t="s">
        <v>583</v>
      </c>
      <c r="D933" s="85" t="s">
        <v>74</v>
      </c>
      <c r="E933" s="85" t="s">
        <v>746</v>
      </c>
      <c r="F933" s="90">
        <v>8425</v>
      </c>
      <c r="G933" s="90">
        <v>6</v>
      </c>
      <c r="H933" s="201">
        <v>6</v>
      </c>
      <c r="I933" s="379">
        <f>H933/F933*100</f>
        <v>0.0712166172106825</v>
      </c>
      <c r="J933" s="379">
        <f t="shared" si="60"/>
        <v>100</v>
      </c>
      <c r="K933" s="254"/>
    </row>
    <row r="934" spans="1:11" ht="15">
      <c r="A934" s="87" t="s">
        <v>1812</v>
      </c>
      <c r="B934" s="85" t="s">
        <v>1788</v>
      </c>
      <c r="C934" s="85" t="s">
        <v>583</v>
      </c>
      <c r="D934" s="85" t="s">
        <v>74</v>
      </c>
      <c r="E934" s="85" t="s">
        <v>1637</v>
      </c>
      <c r="F934" s="243">
        <f>F935+F936</f>
        <v>1190.3</v>
      </c>
      <c r="G934" s="243">
        <f>G935+G936</f>
        <v>0</v>
      </c>
      <c r="H934" s="201"/>
      <c r="I934" s="379">
        <f>H934/F934*100</f>
        <v>0</v>
      </c>
      <c r="J934" s="379"/>
      <c r="K934" s="254"/>
    </row>
    <row r="935" spans="1:11" ht="24">
      <c r="A935" s="87" t="s">
        <v>1813</v>
      </c>
      <c r="B935" s="85" t="s">
        <v>1788</v>
      </c>
      <c r="C935" s="85" t="s">
        <v>583</v>
      </c>
      <c r="D935" s="85" t="s">
        <v>1814</v>
      </c>
      <c r="E935" s="85" t="s">
        <v>1637</v>
      </c>
      <c r="F935" s="90">
        <v>1190.3</v>
      </c>
      <c r="G935" s="90"/>
      <c r="H935" s="201"/>
      <c r="I935" s="379">
        <f>H935/F935*100</f>
        <v>0</v>
      </c>
      <c r="J935" s="379"/>
      <c r="K935" s="254"/>
    </row>
    <row r="936" spans="1:11" ht="15.75" hidden="1">
      <c r="A936" s="87" t="s">
        <v>1815</v>
      </c>
      <c r="B936" s="85" t="s">
        <v>1788</v>
      </c>
      <c r="C936" s="85" t="s">
        <v>583</v>
      </c>
      <c r="D936" s="85" t="s">
        <v>1814</v>
      </c>
      <c r="E936" s="85" t="s">
        <v>1637</v>
      </c>
      <c r="F936" s="90"/>
      <c r="G936" s="90"/>
      <c r="H936" s="201"/>
      <c r="I936" s="379"/>
      <c r="J936" s="379"/>
      <c r="K936" s="254"/>
    </row>
    <row r="937" spans="1:11" ht="24">
      <c r="A937" s="361" t="s">
        <v>380</v>
      </c>
      <c r="B937" s="85" t="s">
        <v>1788</v>
      </c>
      <c r="C937" s="85" t="s">
        <v>583</v>
      </c>
      <c r="D937" s="85" t="s">
        <v>381</v>
      </c>
      <c r="E937" s="85" t="s">
        <v>1071</v>
      </c>
      <c r="F937" s="243">
        <f>F938</f>
        <v>0</v>
      </c>
      <c r="G937" s="243">
        <f>G938</f>
        <v>1147.5</v>
      </c>
      <c r="H937" s="243">
        <f>H938</f>
        <v>1147.3</v>
      </c>
      <c r="I937" s="379"/>
      <c r="J937" s="379">
        <f t="shared" si="60"/>
        <v>99.98257080610021</v>
      </c>
      <c r="K937" s="254"/>
    </row>
    <row r="938" spans="1:11" ht="15">
      <c r="A938" s="87" t="s">
        <v>375</v>
      </c>
      <c r="B938" s="85" t="s">
        <v>1788</v>
      </c>
      <c r="C938" s="85" t="s">
        <v>583</v>
      </c>
      <c r="D938" s="85" t="s">
        <v>381</v>
      </c>
      <c r="E938" s="85" t="s">
        <v>1637</v>
      </c>
      <c r="F938" s="243">
        <f>F939+F940</f>
        <v>0</v>
      </c>
      <c r="G938" s="243">
        <f>G939+G940</f>
        <v>1147.5</v>
      </c>
      <c r="H938" s="243">
        <f>H939+H940</f>
        <v>1147.3</v>
      </c>
      <c r="I938" s="379"/>
      <c r="J938" s="379">
        <f t="shared" si="60"/>
        <v>99.98257080610021</v>
      </c>
      <c r="K938" s="254"/>
    </row>
    <row r="939" spans="1:11" ht="24">
      <c r="A939" s="87" t="s">
        <v>1816</v>
      </c>
      <c r="B939" s="85" t="s">
        <v>1788</v>
      </c>
      <c r="C939" s="85" t="s">
        <v>583</v>
      </c>
      <c r="D939" s="85" t="s">
        <v>381</v>
      </c>
      <c r="E939" s="85" t="s">
        <v>1637</v>
      </c>
      <c r="F939" s="90"/>
      <c r="G939" s="90">
        <f>246.3-98.8</f>
        <v>147.5</v>
      </c>
      <c r="H939" s="201">
        <v>147.3</v>
      </c>
      <c r="I939" s="379"/>
      <c r="J939" s="379">
        <f t="shared" si="60"/>
        <v>99.86440677966102</v>
      </c>
      <c r="K939" s="254"/>
    </row>
    <row r="940" spans="1:11" ht="15">
      <c r="A940" s="87" t="s">
        <v>494</v>
      </c>
      <c r="B940" s="85" t="s">
        <v>1788</v>
      </c>
      <c r="C940" s="85" t="s">
        <v>583</v>
      </c>
      <c r="D940" s="85" t="s">
        <v>381</v>
      </c>
      <c r="E940" s="85" t="s">
        <v>1637</v>
      </c>
      <c r="F940" s="90"/>
      <c r="G940" s="90">
        <v>1000</v>
      </c>
      <c r="H940" s="201">
        <v>1000</v>
      </c>
      <c r="I940" s="379"/>
      <c r="J940" s="379">
        <f t="shared" si="60"/>
        <v>100</v>
      </c>
      <c r="K940" s="254"/>
    </row>
    <row r="941" spans="1:11" ht="15">
      <c r="A941" s="96" t="s">
        <v>245</v>
      </c>
      <c r="B941" s="85" t="s">
        <v>1788</v>
      </c>
      <c r="C941" s="85" t="s">
        <v>1788</v>
      </c>
      <c r="D941" s="85"/>
      <c r="E941" s="85"/>
      <c r="F941" s="243">
        <f>F942+F944+F953</f>
        <v>24215.6</v>
      </c>
      <c r="G941" s="243">
        <f>G942+G944+G953</f>
        <v>26266.2</v>
      </c>
      <c r="H941" s="243">
        <f>H942+H944+H953</f>
        <v>25773.7</v>
      </c>
      <c r="I941" s="379">
        <f>H941/F941*100</f>
        <v>106.4342820330696</v>
      </c>
      <c r="J941" s="379">
        <f t="shared" si="60"/>
        <v>98.12496668722541</v>
      </c>
      <c r="K941" s="254"/>
    </row>
    <row r="942" spans="1:11" ht="15.75" hidden="1">
      <c r="A942" s="94" t="s">
        <v>1359</v>
      </c>
      <c r="B942" s="85" t="s">
        <v>1788</v>
      </c>
      <c r="C942" s="85" t="s">
        <v>1788</v>
      </c>
      <c r="D942" s="85" t="s">
        <v>936</v>
      </c>
      <c r="E942" s="85"/>
      <c r="F942" s="243">
        <f>F943</f>
        <v>0</v>
      </c>
      <c r="G942" s="243">
        <f>G943</f>
        <v>0</v>
      </c>
      <c r="H942" s="201"/>
      <c r="I942" s="379"/>
      <c r="J942" s="379"/>
      <c r="K942" s="254"/>
    </row>
    <row r="943" spans="1:11" ht="15.75" hidden="1">
      <c r="A943" s="95" t="s">
        <v>1360</v>
      </c>
      <c r="B943" s="85" t="s">
        <v>1788</v>
      </c>
      <c r="C943" s="85" t="s">
        <v>1788</v>
      </c>
      <c r="D943" s="85" t="s">
        <v>936</v>
      </c>
      <c r="E943" s="85" t="s">
        <v>1361</v>
      </c>
      <c r="F943" s="90"/>
      <c r="G943" s="90"/>
      <c r="H943" s="201"/>
      <c r="I943" s="379"/>
      <c r="J943" s="379"/>
      <c r="K943" s="254"/>
    </row>
    <row r="944" spans="1:11" ht="24">
      <c r="A944" s="93" t="s">
        <v>143</v>
      </c>
      <c r="B944" s="85" t="s">
        <v>1788</v>
      </c>
      <c r="C944" s="85" t="s">
        <v>1788</v>
      </c>
      <c r="D944" s="85" t="s">
        <v>144</v>
      </c>
      <c r="E944" s="89"/>
      <c r="F944" s="243">
        <f>F945+F950</f>
        <v>6920.6</v>
      </c>
      <c r="G944" s="243">
        <f>G945+G950</f>
        <v>8242.2</v>
      </c>
      <c r="H944" s="243">
        <f>H945+H950</f>
        <v>7758.2</v>
      </c>
      <c r="I944" s="379">
        <f>H944/F944*100</f>
        <v>112.10299684998411</v>
      </c>
      <c r="J944" s="379">
        <f t="shared" si="60"/>
        <v>94.12778141758268</v>
      </c>
      <c r="K944" s="254"/>
    </row>
    <row r="945" spans="1:11" ht="15">
      <c r="A945" s="87" t="s">
        <v>1599</v>
      </c>
      <c r="B945" s="85" t="s">
        <v>1788</v>
      </c>
      <c r="C945" s="85" t="s">
        <v>1788</v>
      </c>
      <c r="D945" s="85" t="s">
        <v>1884</v>
      </c>
      <c r="E945" s="85" t="s">
        <v>1071</v>
      </c>
      <c r="F945" s="243">
        <f>F946+F947+F948+F949</f>
        <v>6908.6</v>
      </c>
      <c r="G945" s="243">
        <f>G946+G947+G948+G949</f>
        <v>8230.2</v>
      </c>
      <c r="H945" s="243">
        <f>H946+H947+H948+H949</f>
        <v>7746.8</v>
      </c>
      <c r="I945" s="379">
        <f>H945/F945*100</f>
        <v>112.1327041658223</v>
      </c>
      <c r="J945" s="379">
        <f t="shared" si="60"/>
        <v>94.12650968384729</v>
      </c>
      <c r="K945" s="254"/>
    </row>
    <row r="946" spans="1:11" ht="15">
      <c r="A946" s="87" t="s">
        <v>1832</v>
      </c>
      <c r="B946" s="85" t="s">
        <v>1788</v>
      </c>
      <c r="C946" s="85" t="s">
        <v>1788</v>
      </c>
      <c r="D946" s="85" t="s">
        <v>1884</v>
      </c>
      <c r="E946" s="85" t="s">
        <v>1833</v>
      </c>
      <c r="F946" s="90"/>
      <c r="G946" s="90">
        <f>2671.8+885.4</f>
        <v>3557.2000000000003</v>
      </c>
      <c r="H946" s="201">
        <v>3231.5</v>
      </c>
      <c r="I946" s="379"/>
      <c r="J946" s="379">
        <f t="shared" si="60"/>
        <v>90.84392218598897</v>
      </c>
      <c r="K946" s="254"/>
    </row>
    <row r="947" spans="1:11" ht="15">
      <c r="A947" s="87" t="s">
        <v>1729</v>
      </c>
      <c r="B947" s="85" t="s">
        <v>1788</v>
      </c>
      <c r="C947" s="85" t="s">
        <v>1788</v>
      </c>
      <c r="D947" s="85" t="s">
        <v>1884</v>
      </c>
      <c r="E947" s="85" t="s">
        <v>1837</v>
      </c>
      <c r="F947" s="90"/>
      <c r="G947" s="90">
        <f>406+93+91</f>
        <v>590</v>
      </c>
      <c r="H947" s="201">
        <v>528.4</v>
      </c>
      <c r="I947" s="379"/>
      <c r="J947" s="379">
        <f t="shared" si="60"/>
        <v>89.5593220338983</v>
      </c>
      <c r="K947" s="254"/>
    </row>
    <row r="948" spans="1:11" ht="15">
      <c r="A948" s="376" t="s">
        <v>171</v>
      </c>
      <c r="B948" s="85" t="s">
        <v>1788</v>
      </c>
      <c r="C948" s="85" t="s">
        <v>1788</v>
      </c>
      <c r="D948" s="85" t="s">
        <v>1884</v>
      </c>
      <c r="E948" s="85" t="s">
        <v>436</v>
      </c>
      <c r="F948" s="90">
        <v>6908.6</v>
      </c>
      <c r="G948" s="90"/>
      <c r="H948" s="201"/>
      <c r="I948" s="379">
        <f>H948/F948*100</f>
        <v>0</v>
      </c>
      <c r="J948" s="379"/>
      <c r="K948" s="254"/>
    </row>
    <row r="949" spans="1:11" ht="24">
      <c r="A949" s="87" t="s">
        <v>1817</v>
      </c>
      <c r="B949" s="85" t="s">
        <v>1788</v>
      </c>
      <c r="C949" s="85" t="s">
        <v>1788</v>
      </c>
      <c r="D949" s="85" t="s">
        <v>1818</v>
      </c>
      <c r="E949" s="85" t="s">
        <v>88</v>
      </c>
      <c r="F949" s="90"/>
      <c r="G949" s="90">
        <v>4083</v>
      </c>
      <c r="H949" s="201">
        <v>3986.9</v>
      </c>
      <c r="I949" s="379"/>
      <c r="J949" s="379">
        <f t="shared" si="60"/>
        <v>97.64633847661034</v>
      </c>
      <c r="K949" s="254"/>
    </row>
    <row r="950" spans="1:11" ht="15">
      <c r="A950" s="349" t="s">
        <v>1840</v>
      </c>
      <c r="B950" s="85" t="s">
        <v>1788</v>
      </c>
      <c r="C950" s="85" t="s">
        <v>1788</v>
      </c>
      <c r="D950" s="85" t="s">
        <v>1841</v>
      </c>
      <c r="E950" s="85" t="s">
        <v>1071</v>
      </c>
      <c r="F950" s="243">
        <f>F951+F952</f>
        <v>12</v>
      </c>
      <c r="G950" s="243">
        <f>G951+G952</f>
        <v>12</v>
      </c>
      <c r="H950" s="243">
        <f>H951+H952</f>
        <v>11.4</v>
      </c>
      <c r="I950" s="379">
        <f>H950/F950*100</f>
        <v>95</v>
      </c>
      <c r="J950" s="379">
        <f t="shared" si="60"/>
        <v>95</v>
      </c>
      <c r="K950" s="254"/>
    </row>
    <row r="951" spans="1:11" ht="15">
      <c r="A951" s="376" t="s">
        <v>171</v>
      </c>
      <c r="B951" s="85" t="s">
        <v>1788</v>
      </c>
      <c r="C951" s="85" t="s">
        <v>1788</v>
      </c>
      <c r="D951" s="85" t="s">
        <v>1841</v>
      </c>
      <c r="E951" s="85" t="s">
        <v>436</v>
      </c>
      <c r="F951" s="90">
        <v>12</v>
      </c>
      <c r="G951" s="243"/>
      <c r="H951" s="201"/>
      <c r="I951" s="379">
        <f>H951/F951*100</f>
        <v>0</v>
      </c>
      <c r="J951" s="379"/>
      <c r="K951" s="254"/>
    </row>
    <row r="952" spans="1:11" ht="15">
      <c r="A952" s="349" t="s">
        <v>1840</v>
      </c>
      <c r="B952" s="85" t="s">
        <v>1788</v>
      </c>
      <c r="C952" s="85" t="s">
        <v>1788</v>
      </c>
      <c r="D952" s="85" t="s">
        <v>1841</v>
      </c>
      <c r="E952" s="85" t="s">
        <v>1842</v>
      </c>
      <c r="F952" s="90"/>
      <c r="G952" s="90">
        <v>12</v>
      </c>
      <c r="H952" s="201">
        <v>11.4</v>
      </c>
      <c r="I952" s="379"/>
      <c r="J952" s="379">
        <f t="shared" si="60"/>
        <v>95</v>
      </c>
      <c r="K952" s="254"/>
    </row>
    <row r="953" spans="1:11" ht="36">
      <c r="A953" s="86" t="s">
        <v>1366</v>
      </c>
      <c r="B953" s="85" t="s">
        <v>1788</v>
      </c>
      <c r="C953" s="85" t="s">
        <v>1788</v>
      </c>
      <c r="D953" s="85" t="s">
        <v>1367</v>
      </c>
      <c r="E953" s="85" t="s">
        <v>1071</v>
      </c>
      <c r="F953" s="243">
        <f aca="true" t="shared" si="61" ref="F953:H954">F954</f>
        <v>17295</v>
      </c>
      <c r="G953" s="243">
        <f t="shared" si="61"/>
        <v>18024</v>
      </c>
      <c r="H953" s="243">
        <f t="shared" si="61"/>
        <v>18015.5</v>
      </c>
      <c r="I953" s="379">
        <f>H953/F953*100</f>
        <v>104.16594391442612</v>
      </c>
      <c r="J953" s="379">
        <f t="shared" si="60"/>
        <v>99.95284065690191</v>
      </c>
      <c r="K953" s="254"/>
    </row>
    <row r="954" spans="1:11" ht="15">
      <c r="A954" s="95" t="s">
        <v>661</v>
      </c>
      <c r="B954" s="85" t="s">
        <v>1788</v>
      </c>
      <c r="C954" s="85" t="s">
        <v>1788</v>
      </c>
      <c r="D954" s="85" t="s">
        <v>1416</v>
      </c>
      <c r="E954" s="85" t="s">
        <v>1071</v>
      </c>
      <c r="F954" s="243">
        <f t="shared" si="61"/>
        <v>17295</v>
      </c>
      <c r="G954" s="243">
        <f t="shared" si="61"/>
        <v>18024</v>
      </c>
      <c r="H954" s="243">
        <f t="shared" si="61"/>
        <v>18015.5</v>
      </c>
      <c r="I954" s="379">
        <f>H954/F954*100</f>
        <v>104.16594391442612</v>
      </c>
      <c r="J954" s="379">
        <f t="shared" si="60"/>
        <v>99.95284065690191</v>
      </c>
      <c r="K954" s="254"/>
    </row>
    <row r="955" spans="1:11" ht="15">
      <c r="A955" s="87" t="s">
        <v>1355</v>
      </c>
      <c r="B955" s="85" t="s">
        <v>1788</v>
      </c>
      <c r="C955" s="85" t="s">
        <v>1788</v>
      </c>
      <c r="D955" s="85" t="s">
        <v>1416</v>
      </c>
      <c r="E955" s="85" t="s">
        <v>744</v>
      </c>
      <c r="F955" s="243">
        <f>F956+F957</f>
        <v>17295</v>
      </c>
      <c r="G955" s="243">
        <f>G956+G957</f>
        <v>18024</v>
      </c>
      <c r="H955" s="243">
        <f>H956+H957</f>
        <v>18015.5</v>
      </c>
      <c r="I955" s="379">
        <f>H955/F955*100</f>
        <v>104.16594391442612</v>
      </c>
      <c r="J955" s="379">
        <f t="shared" si="60"/>
        <v>99.95284065690191</v>
      </c>
      <c r="K955" s="254"/>
    </row>
    <row r="956" spans="1:11" ht="24">
      <c r="A956" s="87" t="s">
        <v>745</v>
      </c>
      <c r="B956" s="85" t="s">
        <v>1788</v>
      </c>
      <c r="C956" s="85" t="s">
        <v>1788</v>
      </c>
      <c r="D956" s="85" t="s">
        <v>1416</v>
      </c>
      <c r="E956" s="85" t="s">
        <v>746</v>
      </c>
      <c r="F956" s="90">
        <v>17295</v>
      </c>
      <c r="G956" s="90">
        <f>17981-686+729</f>
        <v>18024</v>
      </c>
      <c r="H956" s="201">
        <v>18015.5</v>
      </c>
      <c r="I956" s="379">
        <f>H956/F956*100</f>
        <v>104.16594391442612</v>
      </c>
      <c r="J956" s="379">
        <f t="shared" si="60"/>
        <v>99.95284065690191</v>
      </c>
      <c r="K956" s="254"/>
    </row>
    <row r="957" spans="1:11" ht="15.75" hidden="1">
      <c r="A957" s="87" t="s">
        <v>1812</v>
      </c>
      <c r="B957" s="85" t="s">
        <v>1788</v>
      </c>
      <c r="C957" s="85" t="s">
        <v>1788</v>
      </c>
      <c r="D957" s="85" t="s">
        <v>1416</v>
      </c>
      <c r="E957" s="85" t="s">
        <v>1637</v>
      </c>
      <c r="F957" s="243">
        <f>F958</f>
        <v>0</v>
      </c>
      <c r="G957" s="243">
        <f>G958</f>
        <v>0</v>
      </c>
      <c r="H957" s="201"/>
      <c r="I957" s="379"/>
      <c r="J957" s="379"/>
      <c r="K957" s="254"/>
    </row>
    <row r="958" spans="1:11" ht="15.75" hidden="1">
      <c r="A958" s="87"/>
      <c r="B958" s="85" t="s">
        <v>1788</v>
      </c>
      <c r="C958" s="85" t="s">
        <v>1788</v>
      </c>
      <c r="D958" s="364" t="s">
        <v>1587</v>
      </c>
      <c r="E958" s="85" t="s">
        <v>1637</v>
      </c>
      <c r="F958" s="90">
        <v>0</v>
      </c>
      <c r="G958" s="90">
        <v>0</v>
      </c>
      <c r="H958" s="201"/>
      <c r="I958" s="379"/>
      <c r="J958" s="379"/>
      <c r="K958" s="254"/>
    </row>
    <row r="959" spans="1:11" ht="15.75">
      <c r="A959" s="175" t="s">
        <v>246</v>
      </c>
      <c r="B959" s="103" t="s">
        <v>1795</v>
      </c>
      <c r="C959" s="103"/>
      <c r="D959" s="103"/>
      <c r="E959" s="103"/>
      <c r="F959" s="242">
        <f>F960+F965+F1096</f>
        <v>93599.2</v>
      </c>
      <c r="G959" s="242">
        <f>G960+G965+G1096</f>
        <v>132646.2</v>
      </c>
      <c r="H959" s="242">
        <f>H960+H965+H1096</f>
        <v>95344.3</v>
      </c>
      <c r="I959" s="420">
        <f aca="true" t="shared" si="62" ref="I959:I965">H959/F959*100</f>
        <v>101.86443901229924</v>
      </c>
      <c r="J959" s="420">
        <f t="shared" si="60"/>
        <v>71.87865163118128</v>
      </c>
      <c r="K959" s="254"/>
    </row>
    <row r="960" spans="1:11" ht="15">
      <c r="A960" s="91" t="s">
        <v>355</v>
      </c>
      <c r="B960" s="102" t="s">
        <v>1795</v>
      </c>
      <c r="C960" s="102" t="s">
        <v>141</v>
      </c>
      <c r="D960" s="102"/>
      <c r="E960" s="102"/>
      <c r="F960" s="251">
        <f>F961</f>
        <v>6767</v>
      </c>
      <c r="G960" s="251">
        <f>G961</f>
        <v>6767</v>
      </c>
      <c r="H960" s="251">
        <f>H961</f>
        <v>5338.3</v>
      </c>
      <c r="I960" s="379">
        <f t="shared" si="62"/>
        <v>78.8872469336486</v>
      </c>
      <c r="J960" s="379">
        <f t="shared" si="60"/>
        <v>78.8872469336486</v>
      </c>
      <c r="K960" s="254"/>
    </row>
    <row r="961" spans="1:11" ht="15">
      <c r="A961" s="93" t="s">
        <v>247</v>
      </c>
      <c r="B961" s="102" t="s">
        <v>1795</v>
      </c>
      <c r="C961" s="102" t="s">
        <v>141</v>
      </c>
      <c r="D961" s="102" t="s">
        <v>248</v>
      </c>
      <c r="E961" s="102"/>
      <c r="F961" s="251">
        <f>F963</f>
        <v>6767</v>
      </c>
      <c r="G961" s="251">
        <f>G963</f>
        <v>6767</v>
      </c>
      <c r="H961" s="251">
        <f>H963</f>
        <v>5338.3</v>
      </c>
      <c r="I961" s="379">
        <f t="shared" si="62"/>
        <v>78.8872469336486</v>
      </c>
      <c r="J961" s="379">
        <f t="shared" si="60"/>
        <v>78.8872469336486</v>
      </c>
      <c r="K961" s="254"/>
    </row>
    <row r="962" spans="1:11" ht="15">
      <c r="A962" s="362" t="s">
        <v>249</v>
      </c>
      <c r="B962" s="85" t="s">
        <v>1795</v>
      </c>
      <c r="C962" s="85" t="s">
        <v>141</v>
      </c>
      <c r="D962" s="85" t="s">
        <v>250</v>
      </c>
      <c r="E962" s="85"/>
      <c r="F962" s="243">
        <f aca="true" t="shared" si="63" ref="F962:H963">F963</f>
        <v>6767</v>
      </c>
      <c r="G962" s="243">
        <f t="shared" si="63"/>
        <v>6767</v>
      </c>
      <c r="H962" s="243">
        <f t="shared" si="63"/>
        <v>5338.3</v>
      </c>
      <c r="I962" s="379">
        <f t="shared" si="62"/>
        <v>78.8872469336486</v>
      </c>
      <c r="J962" s="379">
        <f t="shared" si="60"/>
        <v>78.8872469336486</v>
      </c>
      <c r="K962" s="254"/>
    </row>
    <row r="963" spans="1:11" ht="24">
      <c r="A963" s="87" t="s">
        <v>1425</v>
      </c>
      <c r="B963" s="85" t="s">
        <v>1795</v>
      </c>
      <c r="C963" s="85" t="s">
        <v>141</v>
      </c>
      <c r="D963" s="85" t="s">
        <v>1230</v>
      </c>
      <c r="E963" s="85" t="s">
        <v>1071</v>
      </c>
      <c r="F963" s="243">
        <f t="shared" si="63"/>
        <v>6767</v>
      </c>
      <c r="G963" s="243">
        <f t="shared" si="63"/>
        <v>6767</v>
      </c>
      <c r="H963" s="243">
        <f t="shared" si="63"/>
        <v>5338.3</v>
      </c>
      <c r="I963" s="379">
        <f t="shared" si="62"/>
        <v>78.8872469336486</v>
      </c>
      <c r="J963" s="379">
        <f t="shared" si="60"/>
        <v>78.8872469336486</v>
      </c>
      <c r="K963" s="254"/>
    </row>
    <row r="964" spans="1:11" ht="15">
      <c r="A964" s="87" t="s">
        <v>1786</v>
      </c>
      <c r="B964" s="85" t="s">
        <v>1795</v>
      </c>
      <c r="C964" s="85" t="s">
        <v>141</v>
      </c>
      <c r="D964" s="85" t="s">
        <v>1230</v>
      </c>
      <c r="E964" s="85" t="s">
        <v>1880</v>
      </c>
      <c r="F964" s="90">
        <v>6767</v>
      </c>
      <c r="G964" s="90">
        <v>6767</v>
      </c>
      <c r="H964" s="201">
        <v>5338.3</v>
      </c>
      <c r="I964" s="379">
        <f t="shared" si="62"/>
        <v>78.8872469336486</v>
      </c>
      <c r="J964" s="379">
        <f t="shared" si="60"/>
        <v>78.8872469336486</v>
      </c>
      <c r="K964" s="254"/>
    </row>
    <row r="965" spans="1:11" ht="15">
      <c r="A965" s="91" t="s">
        <v>358</v>
      </c>
      <c r="B965" s="85" t="s">
        <v>1795</v>
      </c>
      <c r="C965" s="85" t="s">
        <v>1598</v>
      </c>
      <c r="D965" s="85"/>
      <c r="E965" s="85"/>
      <c r="F965" s="251">
        <f>F966+F968+F974+F976+F1085</f>
        <v>64261.2</v>
      </c>
      <c r="G965" s="251">
        <f>G966+G968+G974+G976+G1085</f>
        <v>102915.8</v>
      </c>
      <c r="H965" s="251">
        <f>H966+H968+H974+H976+H1085</f>
        <v>70453.9</v>
      </c>
      <c r="I965" s="379">
        <f t="shared" si="62"/>
        <v>109.63676370811623</v>
      </c>
      <c r="J965" s="379">
        <f t="shared" si="60"/>
        <v>68.4578072560287</v>
      </c>
      <c r="K965" s="254"/>
    </row>
    <row r="966" spans="1:11" ht="60">
      <c r="A966" s="92" t="s">
        <v>1426</v>
      </c>
      <c r="B966" s="85" t="s">
        <v>1795</v>
      </c>
      <c r="C966" s="85" t="s">
        <v>1598</v>
      </c>
      <c r="D966" s="85" t="s">
        <v>324</v>
      </c>
      <c r="E966" s="85" t="s">
        <v>1071</v>
      </c>
      <c r="F966" s="243">
        <f>F967</f>
        <v>0</v>
      </c>
      <c r="G966" s="243">
        <f>G967</f>
        <v>500.1</v>
      </c>
      <c r="H966" s="243">
        <f>H967</f>
        <v>500.1</v>
      </c>
      <c r="I966" s="379"/>
      <c r="J966" s="379">
        <f t="shared" si="60"/>
        <v>100</v>
      </c>
      <c r="K966" s="254"/>
    </row>
    <row r="967" spans="1:11" ht="24">
      <c r="A967" s="92" t="s">
        <v>1427</v>
      </c>
      <c r="B967" s="85" t="s">
        <v>1795</v>
      </c>
      <c r="C967" s="85" t="s">
        <v>1598</v>
      </c>
      <c r="D967" s="85" t="s">
        <v>324</v>
      </c>
      <c r="E967" s="85" t="s">
        <v>326</v>
      </c>
      <c r="F967" s="90"/>
      <c r="G967" s="90">
        <v>500.1</v>
      </c>
      <c r="H967" s="201">
        <v>500.1</v>
      </c>
      <c r="I967" s="379"/>
      <c r="J967" s="379">
        <f t="shared" si="60"/>
        <v>100</v>
      </c>
      <c r="K967" s="254"/>
    </row>
    <row r="968" spans="1:11" ht="24">
      <c r="A968" s="92" t="s">
        <v>1428</v>
      </c>
      <c r="B968" s="85" t="s">
        <v>1795</v>
      </c>
      <c r="C968" s="85" t="s">
        <v>1598</v>
      </c>
      <c r="D968" s="85" t="s">
        <v>1429</v>
      </c>
      <c r="E968" s="85"/>
      <c r="F968" s="252">
        <f>F969+F971</f>
        <v>0</v>
      </c>
      <c r="G968" s="252">
        <f>G969+G971</f>
        <v>21175.5</v>
      </c>
      <c r="H968" s="252">
        <f>H969+H971</f>
        <v>3203.1</v>
      </c>
      <c r="I968" s="379"/>
      <c r="J968" s="379">
        <f t="shared" si="60"/>
        <v>15.126443295317701</v>
      </c>
      <c r="K968" s="254"/>
    </row>
    <row r="969" spans="1:11" ht="24">
      <c r="A969" s="92" t="s">
        <v>1430</v>
      </c>
      <c r="B969" s="85" t="s">
        <v>1795</v>
      </c>
      <c r="C969" s="85" t="s">
        <v>1598</v>
      </c>
      <c r="D969" s="85" t="s">
        <v>797</v>
      </c>
      <c r="E969" s="85" t="s">
        <v>1071</v>
      </c>
      <c r="F969" s="252">
        <f>F970</f>
        <v>0</v>
      </c>
      <c r="G969" s="252">
        <f>G970</f>
        <v>19426</v>
      </c>
      <c r="H969" s="252">
        <f>H970</f>
        <v>2511</v>
      </c>
      <c r="I969" s="379"/>
      <c r="J969" s="379">
        <f t="shared" si="60"/>
        <v>12.925975496756923</v>
      </c>
      <c r="K969" s="254"/>
    </row>
    <row r="970" spans="1:11" ht="15">
      <c r="A970" s="92" t="s">
        <v>1431</v>
      </c>
      <c r="B970" s="85" t="s">
        <v>1795</v>
      </c>
      <c r="C970" s="85" t="s">
        <v>1598</v>
      </c>
      <c r="D970" s="85" t="s">
        <v>797</v>
      </c>
      <c r="E970" s="85" t="s">
        <v>1432</v>
      </c>
      <c r="F970" s="84"/>
      <c r="G970" s="84">
        <v>19426</v>
      </c>
      <c r="H970" s="201">
        <v>2511</v>
      </c>
      <c r="I970" s="379"/>
      <c r="J970" s="379">
        <f t="shared" si="60"/>
        <v>12.925975496756923</v>
      </c>
      <c r="K970" s="254"/>
    </row>
    <row r="971" spans="1:11" ht="15">
      <c r="A971" s="92" t="s">
        <v>1231</v>
      </c>
      <c r="B971" s="85" t="s">
        <v>1795</v>
      </c>
      <c r="C971" s="85" t="s">
        <v>1598</v>
      </c>
      <c r="D971" s="85" t="s">
        <v>798</v>
      </c>
      <c r="E971" s="85" t="s">
        <v>1071</v>
      </c>
      <c r="F971" s="252">
        <f>F972+F973</f>
        <v>0</v>
      </c>
      <c r="G971" s="252">
        <f>G972+G973</f>
        <v>1749.5</v>
      </c>
      <c r="H971" s="252">
        <f>H972+H973</f>
        <v>692.1</v>
      </c>
      <c r="I971" s="379"/>
      <c r="J971" s="379">
        <f t="shared" si="60"/>
        <v>39.55987424978565</v>
      </c>
      <c r="K971" s="254"/>
    </row>
    <row r="972" spans="1:11" ht="15">
      <c r="A972" s="92" t="s">
        <v>1431</v>
      </c>
      <c r="B972" s="365" t="s">
        <v>1795</v>
      </c>
      <c r="C972" s="365" t="s">
        <v>1598</v>
      </c>
      <c r="D972" s="365" t="s">
        <v>798</v>
      </c>
      <c r="E972" s="85" t="s">
        <v>1432</v>
      </c>
      <c r="F972" s="84"/>
      <c r="G972" s="84">
        <v>1008</v>
      </c>
      <c r="H972" s="201"/>
      <c r="I972" s="379"/>
      <c r="J972" s="379">
        <f t="shared" si="60"/>
        <v>0</v>
      </c>
      <c r="K972" s="254"/>
    </row>
    <row r="973" spans="1:11" ht="15">
      <c r="A973" s="92" t="s">
        <v>1433</v>
      </c>
      <c r="B973" s="85" t="s">
        <v>1795</v>
      </c>
      <c r="C973" s="85" t="s">
        <v>1598</v>
      </c>
      <c r="D973" s="85" t="s">
        <v>798</v>
      </c>
      <c r="E973" s="85" t="s">
        <v>1434</v>
      </c>
      <c r="F973" s="90"/>
      <c r="G973" s="90">
        <v>741.5</v>
      </c>
      <c r="H973" s="201">
        <v>692.1</v>
      </c>
      <c r="I973" s="379"/>
      <c r="J973" s="379">
        <f t="shared" si="60"/>
        <v>93.3378287255563</v>
      </c>
      <c r="K973" s="254"/>
    </row>
    <row r="974" spans="1:11" ht="96">
      <c r="A974" s="92" t="s">
        <v>1712</v>
      </c>
      <c r="B974" s="85" t="s">
        <v>1713</v>
      </c>
      <c r="C974" s="85" t="s">
        <v>1598</v>
      </c>
      <c r="D974" s="85" t="s">
        <v>1714</v>
      </c>
      <c r="E974" s="85" t="s">
        <v>1071</v>
      </c>
      <c r="F974" s="243">
        <f>F975</f>
        <v>0</v>
      </c>
      <c r="G974" s="243">
        <f>G975</f>
        <v>1222</v>
      </c>
      <c r="H974" s="243">
        <f>H975</f>
        <v>1094</v>
      </c>
      <c r="I974" s="379"/>
      <c r="J974" s="379">
        <f aca="true" t="shared" si="64" ref="J974:J1037">H974/G974*100</f>
        <v>89.52536824877251</v>
      </c>
      <c r="K974" s="254"/>
    </row>
    <row r="975" spans="1:11" ht="24">
      <c r="A975" s="92" t="s">
        <v>1715</v>
      </c>
      <c r="B975" s="85" t="s">
        <v>1713</v>
      </c>
      <c r="C975" s="85" t="s">
        <v>1598</v>
      </c>
      <c r="D975" s="85" t="s">
        <v>1714</v>
      </c>
      <c r="E975" s="85" t="s">
        <v>869</v>
      </c>
      <c r="F975" s="90"/>
      <c r="G975" s="90">
        <v>1222</v>
      </c>
      <c r="H975" s="201">
        <v>1094</v>
      </c>
      <c r="I975" s="379"/>
      <c r="J975" s="379">
        <f t="shared" si="64"/>
        <v>89.52536824877251</v>
      </c>
      <c r="K975" s="254"/>
    </row>
    <row r="976" spans="1:11" ht="15">
      <c r="A976" s="93" t="s">
        <v>1605</v>
      </c>
      <c r="B976" s="85" t="s">
        <v>1795</v>
      </c>
      <c r="C976" s="85" t="s">
        <v>1598</v>
      </c>
      <c r="D976" s="85" t="s">
        <v>1234</v>
      </c>
      <c r="E976" s="85"/>
      <c r="F976" s="243">
        <f>F977+F1069+F1079+F1076</f>
        <v>60161.2</v>
      </c>
      <c r="G976" s="243">
        <f>G977+G1069+G1079+G1076</f>
        <v>69322</v>
      </c>
      <c r="H976" s="243">
        <f>H977+H1069+H1079+H1076</f>
        <v>57365.09999999999</v>
      </c>
      <c r="I976" s="379">
        <f>H976/F976*100</f>
        <v>95.352320099998</v>
      </c>
      <c r="J976" s="379">
        <f t="shared" si="64"/>
        <v>82.75165171229911</v>
      </c>
      <c r="K976" s="254"/>
    </row>
    <row r="977" spans="1:11" ht="15">
      <c r="A977" s="87" t="s">
        <v>520</v>
      </c>
      <c r="B977" s="85" t="s">
        <v>1795</v>
      </c>
      <c r="C977" s="85" t="s">
        <v>1598</v>
      </c>
      <c r="D977" s="85" t="s">
        <v>1606</v>
      </c>
      <c r="E977" s="85" t="s">
        <v>1071</v>
      </c>
      <c r="F977" s="243">
        <f>F978+F980+F982+F988+F990+F993+F995+F997+F1001++F1008+F1010+F1013+F1016+F1019+F1022+F1025+F1028+F1031+F1034+F1037+F1040+F1043+F1049+F1046+F1052+F1055+F1058+F984+F999+F1061+F1063+F1066</f>
        <v>57886.2</v>
      </c>
      <c r="G977" s="243">
        <f>G978+G980+G982+G988+G990+G993+G995+G997+G1001++G1008+G1010+G1013+G1016+G1019+G1022+G1025+G1028+G1031+G1034+G1037+G1040+G1043+G1049+G1046+G1052+G1055+G1058+G984+G999+G1061+G1063+G1066</f>
        <v>65561</v>
      </c>
      <c r="H977" s="243">
        <f>H978+H980+H982+H988+H990+H993+H995+H997+H1001++H1008+H1010+H1013+H1016+H1019+H1022+H1025+H1028+H1031+H1034+H1037+H1040+H1043+H1049+H1046+H1052+H1055+H1058+H984+H999+H1061+H1063+H1066</f>
        <v>55649.09999999999</v>
      </c>
      <c r="I977" s="379">
        <f>H977/F977*100</f>
        <v>96.13534832136156</v>
      </c>
      <c r="J977" s="379">
        <f t="shared" si="64"/>
        <v>84.88140815423803</v>
      </c>
      <c r="K977" s="254"/>
    </row>
    <row r="978" spans="1:11" ht="15.75" hidden="1">
      <c r="A978" s="92" t="s">
        <v>521</v>
      </c>
      <c r="B978" s="85" t="s">
        <v>1795</v>
      </c>
      <c r="C978" s="85" t="s">
        <v>1598</v>
      </c>
      <c r="D978" s="85" t="s">
        <v>522</v>
      </c>
      <c r="E978" s="85"/>
      <c r="F978" s="246">
        <f>F979</f>
        <v>0</v>
      </c>
      <c r="G978" s="246">
        <f>G979</f>
        <v>0</v>
      </c>
      <c r="H978" s="201"/>
      <c r="I978" s="379"/>
      <c r="J978" s="379"/>
      <c r="K978" s="254"/>
    </row>
    <row r="979" spans="1:11" ht="15.75" hidden="1">
      <c r="A979" s="92" t="s">
        <v>1786</v>
      </c>
      <c r="B979" s="85" t="s">
        <v>1795</v>
      </c>
      <c r="C979" s="85" t="s">
        <v>1598</v>
      </c>
      <c r="D979" s="85" t="s">
        <v>522</v>
      </c>
      <c r="E979" s="85" t="s">
        <v>1880</v>
      </c>
      <c r="F979" s="247"/>
      <c r="G979" s="247"/>
      <c r="H979" s="201"/>
      <c r="I979" s="379"/>
      <c r="J979" s="379"/>
      <c r="K979" s="254"/>
    </row>
    <row r="980" spans="1:11" ht="15.75" hidden="1">
      <c r="A980" s="92" t="s">
        <v>523</v>
      </c>
      <c r="B980" s="85" t="s">
        <v>1795</v>
      </c>
      <c r="C980" s="85" t="s">
        <v>1598</v>
      </c>
      <c r="D980" s="85" t="s">
        <v>524</v>
      </c>
      <c r="E980" s="85"/>
      <c r="F980" s="246">
        <f>F981</f>
        <v>0</v>
      </c>
      <c r="G980" s="246">
        <f>G981</f>
        <v>0</v>
      </c>
      <c r="H980" s="201"/>
      <c r="I980" s="379"/>
      <c r="J980" s="379"/>
      <c r="K980" s="254"/>
    </row>
    <row r="981" spans="1:11" ht="15.75" hidden="1">
      <c r="A981" s="92" t="s">
        <v>1786</v>
      </c>
      <c r="B981" s="85" t="s">
        <v>1795</v>
      </c>
      <c r="C981" s="85" t="s">
        <v>1598</v>
      </c>
      <c r="D981" s="85" t="s">
        <v>524</v>
      </c>
      <c r="E981" s="85" t="s">
        <v>1880</v>
      </c>
      <c r="F981" s="247"/>
      <c r="G981" s="247"/>
      <c r="H981" s="201"/>
      <c r="I981" s="379"/>
      <c r="J981" s="379"/>
      <c r="K981" s="254"/>
    </row>
    <row r="982" spans="1:11" ht="15">
      <c r="A982" s="92" t="s">
        <v>525</v>
      </c>
      <c r="B982" s="85" t="s">
        <v>1795</v>
      </c>
      <c r="C982" s="85" t="s">
        <v>1598</v>
      </c>
      <c r="D982" s="85" t="s">
        <v>526</v>
      </c>
      <c r="E982" s="85"/>
      <c r="F982" s="246">
        <f>F983</f>
        <v>3000</v>
      </c>
      <c r="G982" s="246">
        <f>G983</f>
        <v>0</v>
      </c>
      <c r="H982" s="201"/>
      <c r="I982" s="379">
        <f>H982/F982*100</f>
        <v>0</v>
      </c>
      <c r="J982" s="379"/>
      <c r="K982" s="254"/>
    </row>
    <row r="983" spans="1:11" ht="24">
      <c r="A983" s="92" t="s">
        <v>527</v>
      </c>
      <c r="B983" s="85" t="s">
        <v>1795</v>
      </c>
      <c r="C983" s="85" t="s">
        <v>1598</v>
      </c>
      <c r="D983" s="85" t="s">
        <v>526</v>
      </c>
      <c r="E983" s="85" t="s">
        <v>1880</v>
      </c>
      <c r="F983" s="84">
        <v>3000</v>
      </c>
      <c r="G983" s="84"/>
      <c r="H983" s="201"/>
      <c r="I983" s="379">
        <f>H983/F983*100</f>
        <v>0</v>
      </c>
      <c r="J983" s="379"/>
      <c r="K983" s="254"/>
    </row>
    <row r="984" spans="1:11" ht="15">
      <c r="A984" s="366" t="s">
        <v>528</v>
      </c>
      <c r="B984" s="85" t="s">
        <v>1795</v>
      </c>
      <c r="C984" s="85" t="s">
        <v>1598</v>
      </c>
      <c r="D984" s="85" t="s">
        <v>526</v>
      </c>
      <c r="E984" s="85" t="s">
        <v>1071</v>
      </c>
      <c r="F984" s="243">
        <f>F985+F986</f>
        <v>1169</v>
      </c>
      <c r="G984" s="243">
        <f>G985+G986</f>
        <v>1169</v>
      </c>
      <c r="H984" s="243">
        <f>H985+H986</f>
        <v>303.7</v>
      </c>
      <c r="I984" s="379">
        <f>H984/F984*100</f>
        <v>25.979469632164243</v>
      </c>
      <c r="J984" s="379">
        <f t="shared" si="64"/>
        <v>25.979469632164243</v>
      </c>
      <c r="K984" s="254"/>
    </row>
    <row r="985" spans="1:11" ht="24" hidden="1">
      <c r="A985" s="92" t="s">
        <v>529</v>
      </c>
      <c r="B985" s="85" t="s">
        <v>1795</v>
      </c>
      <c r="C985" s="85" t="s">
        <v>1598</v>
      </c>
      <c r="D985" s="85" t="s">
        <v>526</v>
      </c>
      <c r="E985" s="85" t="s">
        <v>1880</v>
      </c>
      <c r="F985" s="90">
        <f>3000-3000</f>
        <v>0</v>
      </c>
      <c r="G985" s="90">
        <f>3000-3000</f>
        <v>0</v>
      </c>
      <c r="H985" s="201"/>
      <c r="I985" s="379"/>
      <c r="J985" s="379"/>
      <c r="K985" s="254"/>
    </row>
    <row r="986" spans="1:11" ht="48">
      <c r="A986" s="87" t="s">
        <v>1716</v>
      </c>
      <c r="B986" s="85" t="s">
        <v>1795</v>
      </c>
      <c r="C986" s="85" t="s">
        <v>1598</v>
      </c>
      <c r="D986" s="85" t="s">
        <v>1650</v>
      </c>
      <c r="E986" s="85" t="s">
        <v>1071</v>
      </c>
      <c r="F986" s="243">
        <f>F987+F992</f>
        <v>1169</v>
      </c>
      <c r="G986" s="243">
        <f>G987+G992</f>
        <v>1169</v>
      </c>
      <c r="H986" s="243">
        <f>H987+H992</f>
        <v>303.7</v>
      </c>
      <c r="I986" s="379">
        <f aca="true" t="shared" si="65" ref="I986:I991">H986/F986*100</f>
        <v>25.979469632164243</v>
      </c>
      <c r="J986" s="379">
        <f t="shared" si="64"/>
        <v>25.979469632164243</v>
      </c>
      <c r="K986" s="254"/>
    </row>
    <row r="987" spans="1:11" ht="15">
      <c r="A987" s="87" t="s">
        <v>1786</v>
      </c>
      <c r="B987" s="85" t="s">
        <v>1795</v>
      </c>
      <c r="C987" s="85" t="s">
        <v>1598</v>
      </c>
      <c r="D987" s="85" t="s">
        <v>1650</v>
      </c>
      <c r="E987" s="85" t="s">
        <v>1880</v>
      </c>
      <c r="F987" s="90">
        <v>1169</v>
      </c>
      <c r="G987" s="90">
        <v>0</v>
      </c>
      <c r="H987" s="201"/>
      <c r="I987" s="379">
        <f t="shared" si="65"/>
        <v>0</v>
      </c>
      <c r="J987" s="379"/>
      <c r="K987" s="254"/>
    </row>
    <row r="988" spans="1:11" ht="96.75" hidden="1">
      <c r="A988" s="367" t="s">
        <v>530</v>
      </c>
      <c r="B988" s="85" t="s">
        <v>1795</v>
      </c>
      <c r="C988" s="85" t="s">
        <v>1598</v>
      </c>
      <c r="D988" s="85" t="s">
        <v>531</v>
      </c>
      <c r="E988" s="85" t="s">
        <v>1071</v>
      </c>
      <c r="F988" s="252">
        <f>F989</f>
        <v>0</v>
      </c>
      <c r="G988" s="252">
        <f>G989</f>
        <v>0</v>
      </c>
      <c r="H988" s="201"/>
      <c r="I988" s="379" t="e">
        <f t="shared" si="65"/>
        <v>#DIV/0!</v>
      </c>
      <c r="J988" s="379" t="e">
        <f t="shared" si="64"/>
        <v>#DIV/0!</v>
      </c>
      <c r="K988" s="254"/>
    </row>
    <row r="989" spans="1:11" ht="15.75" hidden="1">
      <c r="A989" s="87" t="s">
        <v>1786</v>
      </c>
      <c r="B989" s="85" t="s">
        <v>1795</v>
      </c>
      <c r="C989" s="85" t="s">
        <v>1598</v>
      </c>
      <c r="D989" s="85" t="s">
        <v>531</v>
      </c>
      <c r="E989" s="85" t="s">
        <v>1880</v>
      </c>
      <c r="F989" s="247"/>
      <c r="G989" s="247"/>
      <c r="H989" s="201"/>
      <c r="I989" s="379" t="e">
        <f t="shared" si="65"/>
        <v>#DIV/0!</v>
      </c>
      <c r="J989" s="379" t="e">
        <f t="shared" si="64"/>
        <v>#DIV/0!</v>
      </c>
      <c r="K989" s="254"/>
    </row>
    <row r="990" spans="1:11" ht="96.75" hidden="1">
      <c r="A990" s="283" t="s">
        <v>1717</v>
      </c>
      <c r="B990" s="85" t="s">
        <v>1795</v>
      </c>
      <c r="C990" s="85" t="s">
        <v>1598</v>
      </c>
      <c r="D990" s="85" t="s">
        <v>532</v>
      </c>
      <c r="E990" s="85" t="s">
        <v>1071</v>
      </c>
      <c r="F990" s="243">
        <f>F991</f>
        <v>0</v>
      </c>
      <c r="G990" s="243">
        <f>G991</f>
        <v>0</v>
      </c>
      <c r="H990" s="201"/>
      <c r="I990" s="379" t="e">
        <f t="shared" si="65"/>
        <v>#DIV/0!</v>
      </c>
      <c r="J990" s="379" t="e">
        <f t="shared" si="64"/>
        <v>#DIV/0!</v>
      </c>
      <c r="K990" s="254"/>
    </row>
    <row r="991" spans="1:11" ht="15.75" hidden="1">
      <c r="A991" s="92" t="s">
        <v>938</v>
      </c>
      <c r="B991" s="85" t="s">
        <v>1795</v>
      </c>
      <c r="C991" s="85" t="s">
        <v>1598</v>
      </c>
      <c r="D991" s="85" t="s">
        <v>532</v>
      </c>
      <c r="E991" s="85" t="s">
        <v>1879</v>
      </c>
      <c r="F991" s="90"/>
      <c r="G991" s="90"/>
      <c r="H991" s="201"/>
      <c r="I991" s="379" t="e">
        <f t="shared" si="65"/>
        <v>#DIV/0!</v>
      </c>
      <c r="J991" s="379" t="e">
        <f t="shared" si="64"/>
        <v>#DIV/0!</v>
      </c>
      <c r="K991" s="254"/>
    </row>
    <row r="992" spans="1:11" ht="15">
      <c r="A992" s="92" t="s">
        <v>1718</v>
      </c>
      <c r="B992" s="85" t="s">
        <v>1795</v>
      </c>
      <c r="C992" s="85" t="s">
        <v>1598</v>
      </c>
      <c r="D992" s="85" t="s">
        <v>1650</v>
      </c>
      <c r="E992" s="85" t="s">
        <v>1719</v>
      </c>
      <c r="F992" s="90"/>
      <c r="G992" s="90">
        <v>1169</v>
      </c>
      <c r="H992" s="201">
        <v>303.7</v>
      </c>
      <c r="I992" s="379"/>
      <c r="J992" s="379">
        <f t="shared" si="64"/>
        <v>25.979469632164243</v>
      </c>
      <c r="K992" s="254"/>
    </row>
    <row r="993" spans="1:11" ht="48" hidden="1">
      <c r="A993" s="92" t="s">
        <v>1720</v>
      </c>
      <c r="B993" s="85" t="s">
        <v>1795</v>
      </c>
      <c r="C993" s="85" t="s">
        <v>1598</v>
      </c>
      <c r="D993" s="85" t="s">
        <v>532</v>
      </c>
      <c r="E993" s="85"/>
      <c r="F993" s="243">
        <f>F994</f>
        <v>0</v>
      </c>
      <c r="G993" s="243">
        <f>G994</f>
        <v>0</v>
      </c>
      <c r="H993" s="201"/>
      <c r="I993" s="379"/>
      <c r="J993" s="379"/>
      <c r="K993" s="254"/>
    </row>
    <row r="994" spans="1:11" ht="15.75" hidden="1">
      <c r="A994" s="92" t="s">
        <v>938</v>
      </c>
      <c r="B994" s="85" t="s">
        <v>1795</v>
      </c>
      <c r="C994" s="85" t="s">
        <v>1598</v>
      </c>
      <c r="D994" s="85" t="s">
        <v>532</v>
      </c>
      <c r="E994" s="85" t="s">
        <v>742</v>
      </c>
      <c r="F994" s="90"/>
      <c r="G994" s="90"/>
      <c r="H994" s="201"/>
      <c r="I994" s="379"/>
      <c r="J994" s="379"/>
      <c r="K994" s="254"/>
    </row>
    <row r="995" spans="1:11" ht="48">
      <c r="A995" s="92" t="s">
        <v>1721</v>
      </c>
      <c r="B995" s="85" t="s">
        <v>1795</v>
      </c>
      <c r="C995" s="85" t="s">
        <v>1598</v>
      </c>
      <c r="D995" s="85" t="s">
        <v>532</v>
      </c>
      <c r="E995" s="85" t="s">
        <v>1071</v>
      </c>
      <c r="F995" s="243">
        <f>F996</f>
        <v>0</v>
      </c>
      <c r="G995" s="243">
        <f>G996</f>
        <v>1674</v>
      </c>
      <c r="H995" s="243">
        <f>H996</f>
        <v>0</v>
      </c>
      <c r="I995" s="379"/>
      <c r="J995" s="379"/>
      <c r="K995" s="254"/>
    </row>
    <row r="996" spans="1:11" ht="15">
      <c r="A996" s="92" t="s">
        <v>938</v>
      </c>
      <c r="B996" s="85" t="s">
        <v>1795</v>
      </c>
      <c r="C996" s="85" t="s">
        <v>1598</v>
      </c>
      <c r="D996" s="85" t="s">
        <v>532</v>
      </c>
      <c r="E996" s="85" t="s">
        <v>742</v>
      </c>
      <c r="F996" s="90"/>
      <c r="G996" s="90">
        <v>1674</v>
      </c>
      <c r="H996" s="201"/>
      <c r="I996" s="379"/>
      <c r="J996" s="379"/>
      <c r="K996" s="254"/>
    </row>
    <row r="997" spans="1:11" ht="48">
      <c r="A997" s="92" t="s">
        <v>1104</v>
      </c>
      <c r="B997" s="85" t="s">
        <v>1795</v>
      </c>
      <c r="C997" s="85" t="s">
        <v>1598</v>
      </c>
      <c r="D997" s="85" t="s">
        <v>533</v>
      </c>
      <c r="E997" s="85" t="s">
        <v>1071</v>
      </c>
      <c r="F997" s="243">
        <f>F998</f>
        <v>0</v>
      </c>
      <c r="G997" s="243">
        <f>G998</f>
        <v>2319.3</v>
      </c>
      <c r="H997" s="243">
        <f>H998</f>
        <v>0</v>
      </c>
      <c r="I997" s="379"/>
      <c r="J997" s="379"/>
      <c r="K997" s="254"/>
    </row>
    <row r="998" spans="1:11" ht="15">
      <c r="A998" s="92" t="s">
        <v>938</v>
      </c>
      <c r="B998" s="85" t="s">
        <v>1795</v>
      </c>
      <c r="C998" s="85" t="s">
        <v>1598</v>
      </c>
      <c r="D998" s="85" t="s">
        <v>533</v>
      </c>
      <c r="E998" s="85" t="s">
        <v>742</v>
      </c>
      <c r="F998" s="90"/>
      <c r="G998" s="90">
        <v>2319.3</v>
      </c>
      <c r="H998" s="201"/>
      <c r="I998" s="379"/>
      <c r="J998" s="379"/>
      <c r="K998" s="254"/>
    </row>
    <row r="999" spans="1:11" ht="36" hidden="1">
      <c r="A999" s="92" t="s">
        <v>534</v>
      </c>
      <c r="B999" s="85" t="s">
        <v>1795</v>
      </c>
      <c r="C999" s="85" t="s">
        <v>1598</v>
      </c>
      <c r="D999" s="85" t="s">
        <v>535</v>
      </c>
      <c r="E999" s="85" t="s">
        <v>1071</v>
      </c>
      <c r="F999" s="243">
        <f>F1000</f>
        <v>0</v>
      </c>
      <c r="G999" s="243">
        <f>G1000</f>
        <v>0</v>
      </c>
      <c r="H999" s="201"/>
      <c r="I999" s="379"/>
      <c r="J999" s="379"/>
      <c r="K999" s="254"/>
    </row>
    <row r="1000" spans="1:11" ht="15.75" hidden="1">
      <c r="A1000" s="92" t="s">
        <v>938</v>
      </c>
      <c r="B1000" s="85" t="s">
        <v>1795</v>
      </c>
      <c r="C1000" s="85" t="s">
        <v>1598</v>
      </c>
      <c r="D1000" s="85" t="s">
        <v>535</v>
      </c>
      <c r="E1000" s="85" t="s">
        <v>1879</v>
      </c>
      <c r="F1000" s="90">
        <v>0</v>
      </c>
      <c r="G1000" s="90">
        <v>0</v>
      </c>
      <c r="H1000" s="201"/>
      <c r="I1000" s="379"/>
      <c r="J1000" s="379"/>
      <c r="K1000" s="254"/>
    </row>
    <row r="1001" spans="1:11" ht="24">
      <c r="A1001" s="87" t="s">
        <v>762</v>
      </c>
      <c r="B1001" s="85" t="s">
        <v>1795</v>
      </c>
      <c r="C1001" s="85" t="s">
        <v>1598</v>
      </c>
      <c r="D1001" s="85" t="s">
        <v>536</v>
      </c>
      <c r="E1001" s="85" t="s">
        <v>1071</v>
      </c>
      <c r="F1001" s="243">
        <f>F1002+F1003+F1004+F1006</f>
        <v>37993</v>
      </c>
      <c r="G1001" s="243">
        <f>G1002+G1003+G1004+G1006</f>
        <v>42535.6</v>
      </c>
      <c r="H1001" s="243">
        <f>H1002+H1003+H1004+H1006</f>
        <v>39671.399999999994</v>
      </c>
      <c r="I1001" s="379">
        <f>H1001/F1001*100</f>
        <v>104.41765588397863</v>
      </c>
      <c r="J1001" s="379">
        <f t="shared" si="64"/>
        <v>93.26634630756354</v>
      </c>
      <c r="K1001" s="254"/>
    </row>
    <row r="1002" spans="1:11" ht="24">
      <c r="A1002" s="87" t="s">
        <v>1105</v>
      </c>
      <c r="B1002" s="85" t="s">
        <v>1795</v>
      </c>
      <c r="C1002" s="85" t="s">
        <v>1598</v>
      </c>
      <c r="D1002" s="85" t="s">
        <v>536</v>
      </c>
      <c r="E1002" s="85" t="s">
        <v>1106</v>
      </c>
      <c r="F1002" s="90"/>
      <c r="G1002" s="90">
        <f>32024+2200</f>
        <v>34224</v>
      </c>
      <c r="H1002" s="201">
        <v>31448.6</v>
      </c>
      <c r="I1002" s="379"/>
      <c r="J1002" s="379">
        <f t="shared" si="64"/>
        <v>91.89048620850865</v>
      </c>
      <c r="K1002" s="254"/>
    </row>
    <row r="1003" spans="1:11" ht="15">
      <c r="A1003" s="87" t="s">
        <v>1786</v>
      </c>
      <c r="B1003" s="85" t="s">
        <v>1795</v>
      </c>
      <c r="C1003" s="85" t="s">
        <v>1598</v>
      </c>
      <c r="D1003" s="85" t="s">
        <v>536</v>
      </c>
      <c r="E1003" s="85" t="s">
        <v>1880</v>
      </c>
      <c r="F1003" s="90">
        <v>28330</v>
      </c>
      <c r="G1003" s="90"/>
      <c r="H1003" s="201"/>
      <c r="I1003" s="379">
        <f>H1003/F1003*100</f>
        <v>0</v>
      </c>
      <c r="J1003" s="379"/>
      <c r="K1003" s="254"/>
    </row>
    <row r="1004" spans="1:11" ht="48">
      <c r="A1004" s="87" t="s">
        <v>615</v>
      </c>
      <c r="B1004" s="85" t="s">
        <v>1795</v>
      </c>
      <c r="C1004" s="85" t="s">
        <v>1598</v>
      </c>
      <c r="D1004" s="85" t="s">
        <v>1651</v>
      </c>
      <c r="E1004" s="85" t="s">
        <v>1071</v>
      </c>
      <c r="F1004" s="243">
        <f>F1005+F1012</f>
        <v>9663</v>
      </c>
      <c r="G1004" s="243">
        <f>G1005+G1012</f>
        <v>8311.6</v>
      </c>
      <c r="H1004" s="243">
        <f>H1005+H1012</f>
        <v>8222.8</v>
      </c>
      <c r="I1004" s="379">
        <f>H1004/F1004*100</f>
        <v>85.0957259650212</v>
      </c>
      <c r="J1004" s="379">
        <f t="shared" si="64"/>
        <v>98.931613648395</v>
      </c>
      <c r="K1004" s="254"/>
    </row>
    <row r="1005" spans="1:11" ht="15">
      <c r="A1005" s="87" t="s">
        <v>1786</v>
      </c>
      <c r="B1005" s="85" t="s">
        <v>1795</v>
      </c>
      <c r="C1005" s="85" t="s">
        <v>1598</v>
      </c>
      <c r="D1005" s="85" t="s">
        <v>1651</v>
      </c>
      <c r="E1005" s="85" t="s">
        <v>1880</v>
      </c>
      <c r="F1005" s="90">
        <v>9663</v>
      </c>
      <c r="G1005" s="90">
        <v>0</v>
      </c>
      <c r="H1005" s="201"/>
      <c r="I1005" s="379">
        <f>H1005/F1005*100</f>
        <v>0</v>
      </c>
      <c r="J1005" s="379"/>
      <c r="K1005" s="254"/>
    </row>
    <row r="1006" spans="1:11" ht="24" hidden="1">
      <c r="A1006" s="87" t="s">
        <v>616</v>
      </c>
      <c r="B1006" s="85" t="s">
        <v>1795</v>
      </c>
      <c r="C1006" s="85" t="s">
        <v>1598</v>
      </c>
      <c r="D1006" s="85" t="s">
        <v>1608</v>
      </c>
      <c r="E1006" s="85" t="s">
        <v>1071</v>
      </c>
      <c r="F1006" s="243">
        <f>F1007</f>
        <v>0</v>
      </c>
      <c r="G1006" s="243">
        <f>G1007</f>
        <v>0</v>
      </c>
      <c r="H1006" s="201"/>
      <c r="I1006" s="379"/>
      <c r="J1006" s="379"/>
      <c r="K1006" s="254"/>
    </row>
    <row r="1007" spans="1:11" ht="15.75" hidden="1">
      <c r="A1007" s="87" t="s">
        <v>1786</v>
      </c>
      <c r="B1007" s="85" t="s">
        <v>1795</v>
      </c>
      <c r="C1007" s="85" t="s">
        <v>1598</v>
      </c>
      <c r="D1007" s="85" t="s">
        <v>1608</v>
      </c>
      <c r="E1007" s="85" t="s">
        <v>1880</v>
      </c>
      <c r="F1007" s="90">
        <v>0</v>
      </c>
      <c r="G1007" s="90">
        <v>0</v>
      </c>
      <c r="H1007" s="201"/>
      <c r="I1007" s="379"/>
      <c r="J1007" s="379"/>
      <c r="K1007" s="254"/>
    </row>
    <row r="1008" spans="1:11" ht="48" hidden="1">
      <c r="A1008" s="87" t="s">
        <v>0</v>
      </c>
      <c r="B1008" s="85" t="s">
        <v>1795</v>
      </c>
      <c r="C1008" s="85" t="s">
        <v>1598</v>
      </c>
      <c r="D1008" s="85" t="s">
        <v>1</v>
      </c>
      <c r="E1008" s="85"/>
      <c r="F1008" s="243">
        <f>F1009</f>
        <v>0</v>
      </c>
      <c r="G1008" s="243">
        <f>G1009</f>
        <v>0</v>
      </c>
      <c r="H1008" s="201"/>
      <c r="I1008" s="379"/>
      <c r="J1008" s="379"/>
      <c r="K1008" s="254"/>
    </row>
    <row r="1009" spans="1:11" ht="15.75" hidden="1">
      <c r="A1009" s="87" t="s">
        <v>1786</v>
      </c>
      <c r="B1009" s="85" t="s">
        <v>1795</v>
      </c>
      <c r="C1009" s="85" t="s">
        <v>1598</v>
      </c>
      <c r="D1009" s="85" t="s">
        <v>1</v>
      </c>
      <c r="E1009" s="85" t="s">
        <v>1880</v>
      </c>
      <c r="F1009" s="90">
        <v>0</v>
      </c>
      <c r="G1009" s="90">
        <v>0</v>
      </c>
      <c r="H1009" s="201"/>
      <c r="I1009" s="379"/>
      <c r="J1009" s="379"/>
      <c r="K1009" s="254"/>
    </row>
    <row r="1010" spans="1:11" ht="24" hidden="1">
      <c r="A1010" s="87" t="s">
        <v>2</v>
      </c>
      <c r="B1010" s="85" t="s">
        <v>1795</v>
      </c>
      <c r="C1010" s="85" t="s">
        <v>1598</v>
      </c>
      <c r="D1010" s="85" t="s">
        <v>3</v>
      </c>
      <c r="E1010" s="85"/>
      <c r="F1010" s="243">
        <f>F1011</f>
        <v>0</v>
      </c>
      <c r="G1010" s="243">
        <f>G1011</f>
        <v>0</v>
      </c>
      <c r="H1010" s="201"/>
      <c r="I1010" s="379"/>
      <c r="J1010" s="379"/>
      <c r="K1010" s="254"/>
    </row>
    <row r="1011" spans="1:11" ht="15.75" hidden="1">
      <c r="A1011" s="87" t="s">
        <v>1786</v>
      </c>
      <c r="B1011" s="85" t="s">
        <v>1795</v>
      </c>
      <c r="C1011" s="85" t="s">
        <v>1598</v>
      </c>
      <c r="D1011" s="85" t="s">
        <v>3</v>
      </c>
      <c r="E1011" s="85" t="s">
        <v>1880</v>
      </c>
      <c r="F1011" s="90">
        <v>0</v>
      </c>
      <c r="G1011" s="90">
        <v>0</v>
      </c>
      <c r="H1011" s="201"/>
      <c r="I1011" s="379"/>
      <c r="J1011" s="379"/>
      <c r="K1011" s="254"/>
    </row>
    <row r="1012" spans="1:11" ht="15">
      <c r="A1012" s="92" t="s">
        <v>1718</v>
      </c>
      <c r="B1012" s="85" t="s">
        <v>1795</v>
      </c>
      <c r="C1012" s="85" t="s">
        <v>1598</v>
      </c>
      <c r="D1012" s="85" t="s">
        <v>1651</v>
      </c>
      <c r="E1012" s="85" t="s">
        <v>1719</v>
      </c>
      <c r="F1012" s="90"/>
      <c r="G1012" s="90">
        <v>8311.6</v>
      </c>
      <c r="H1012" s="201">
        <v>8222.8</v>
      </c>
      <c r="I1012" s="379"/>
      <c r="J1012" s="379">
        <f t="shared" si="64"/>
        <v>98.931613648395</v>
      </c>
      <c r="K1012" s="254"/>
    </row>
    <row r="1013" spans="1:11" ht="15">
      <c r="A1013" s="87" t="s">
        <v>4</v>
      </c>
      <c r="B1013" s="85" t="s">
        <v>1795</v>
      </c>
      <c r="C1013" s="85" t="s">
        <v>1598</v>
      </c>
      <c r="D1013" s="85" t="s">
        <v>5</v>
      </c>
      <c r="E1013" s="85" t="s">
        <v>1071</v>
      </c>
      <c r="F1013" s="243">
        <f>F1014+F1015</f>
        <v>1729</v>
      </c>
      <c r="G1013" s="243">
        <f>G1014+G1015</f>
        <v>1729</v>
      </c>
      <c r="H1013" s="243">
        <f>H1014+H1015</f>
        <v>1400.3</v>
      </c>
      <c r="I1013" s="379">
        <f>H1013/F1013*100</f>
        <v>80.98901098901099</v>
      </c>
      <c r="J1013" s="379">
        <f t="shared" si="64"/>
        <v>80.98901098901099</v>
      </c>
      <c r="K1013" s="254"/>
    </row>
    <row r="1014" spans="1:11" ht="15">
      <c r="A1014" s="87" t="s">
        <v>1786</v>
      </c>
      <c r="B1014" s="85" t="s">
        <v>1795</v>
      </c>
      <c r="C1014" s="85" t="s">
        <v>1598</v>
      </c>
      <c r="D1014" s="85" t="s">
        <v>5</v>
      </c>
      <c r="E1014" s="85" t="s">
        <v>1880</v>
      </c>
      <c r="F1014" s="90">
        <v>1729</v>
      </c>
      <c r="G1014" s="90">
        <v>0</v>
      </c>
      <c r="H1014" s="201"/>
      <c r="I1014" s="379">
        <f>H1014/F1014*100</f>
        <v>0</v>
      </c>
      <c r="J1014" s="379"/>
      <c r="K1014" s="254"/>
    </row>
    <row r="1015" spans="1:11" ht="15">
      <c r="A1015" s="92" t="s">
        <v>1718</v>
      </c>
      <c r="B1015" s="85" t="s">
        <v>1795</v>
      </c>
      <c r="C1015" s="85" t="s">
        <v>1598</v>
      </c>
      <c r="D1015" s="85" t="s">
        <v>5</v>
      </c>
      <c r="E1015" s="85" t="s">
        <v>1719</v>
      </c>
      <c r="F1015" s="90"/>
      <c r="G1015" s="90">
        <f>1729</f>
        <v>1729</v>
      </c>
      <c r="H1015" s="201">
        <v>1400.3</v>
      </c>
      <c r="I1015" s="379"/>
      <c r="J1015" s="379">
        <f t="shared" si="64"/>
        <v>80.98901098901099</v>
      </c>
      <c r="K1015" s="254"/>
    </row>
    <row r="1016" spans="1:11" ht="72">
      <c r="A1016" s="87" t="s">
        <v>1107</v>
      </c>
      <c r="B1016" s="85" t="s">
        <v>1795</v>
      </c>
      <c r="C1016" s="85" t="s">
        <v>1598</v>
      </c>
      <c r="D1016" s="85" t="s">
        <v>6</v>
      </c>
      <c r="E1016" s="85" t="s">
        <v>1071</v>
      </c>
      <c r="F1016" s="243">
        <f>F1017+F1018</f>
        <v>2425</v>
      </c>
      <c r="G1016" s="243">
        <f>G1017+G1018</f>
        <v>640.0999999999999</v>
      </c>
      <c r="H1016" s="243">
        <f>H1017+H1018</f>
        <v>0</v>
      </c>
      <c r="I1016" s="379"/>
      <c r="J1016" s="379">
        <f t="shared" si="64"/>
        <v>0</v>
      </c>
      <c r="K1016" s="254"/>
    </row>
    <row r="1017" spans="1:11" ht="15">
      <c r="A1017" s="92" t="s">
        <v>1718</v>
      </c>
      <c r="B1017" s="85" t="s">
        <v>1795</v>
      </c>
      <c r="C1017" s="85" t="s">
        <v>1598</v>
      </c>
      <c r="D1017" s="85" t="s">
        <v>6</v>
      </c>
      <c r="E1017" s="85" t="s">
        <v>1719</v>
      </c>
      <c r="F1017" s="90"/>
      <c r="G1017" s="90">
        <f>2425-1784.9</f>
        <v>640.0999999999999</v>
      </c>
      <c r="H1017" s="201"/>
      <c r="I1017" s="379"/>
      <c r="J1017" s="379">
        <f t="shared" si="64"/>
        <v>0</v>
      </c>
      <c r="K1017" s="254"/>
    </row>
    <row r="1018" spans="1:11" ht="15">
      <c r="A1018" s="87" t="s">
        <v>1786</v>
      </c>
      <c r="B1018" s="85" t="s">
        <v>1795</v>
      </c>
      <c r="C1018" s="85" t="s">
        <v>1598</v>
      </c>
      <c r="D1018" s="85" t="s">
        <v>6</v>
      </c>
      <c r="E1018" s="85" t="s">
        <v>1880</v>
      </c>
      <c r="F1018" s="90">
        <v>2425</v>
      </c>
      <c r="G1018" s="90"/>
      <c r="H1018" s="201"/>
      <c r="I1018" s="379">
        <f>H1018/F1018*100</f>
        <v>0</v>
      </c>
      <c r="J1018" s="379"/>
      <c r="K1018" s="254"/>
    </row>
    <row r="1019" spans="1:11" ht="36">
      <c r="A1019" s="87" t="s">
        <v>7</v>
      </c>
      <c r="B1019" s="85" t="s">
        <v>1795</v>
      </c>
      <c r="C1019" s="85" t="s">
        <v>1598</v>
      </c>
      <c r="D1019" s="85" t="s">
        <v>8</v>
      </c>
      <c r="E1019" s="85" t="s">
        <v>1071</v>
      </c>
      <c r="F1019" s="243">
        <f>F1020+F1021</f>
        <v>420</v>
      </c>
      <c r="G1019" s="243">
        <f>G1020+G1021</f>
        <v>420</v>
      </c>
      <c r="H1019" s="243">
        <f>H1020+H1021</f>
        <v>370</v>
      </c>
      <c r="I1019" s="379">
        <f>H1019/F1019*100</f>
        <v>88.09523809523809</v>
      </c>
      <c r="J1019" s="379">
        <f t="shared" si="64"/>
        <v>88.09523809523809</v>
      </c>
      <c r="K1019" s="254"/>
    </row>
    <row r="1020" spans="1:11" ht="15">
      <c r="A1020" s="92" t="s">
        <v>1718</v>
      </c>
      <c r="B1020" s="85" t="s">
        <v>1795</v>
      </c>
      <c r="C1020" s="85" t="s">
        <v>1598</v>
      </c>
      <c r="D1020" s="85" t="s">
        <v>8</v>
      </c>
      <c r="E1020" s="85" t="s">
        <v>1719</v>
      </c>
      <c r="F1020" s="90"/>
      <c r="G1020" s="90">
        <v>420</v>
      </c>
      <c r="H1020" s="201">
        <v>370</v>
      </c>
      <c r="I1020" s="379"/>
      <c r="J1020" s="379">
        <f t="shared" si="64"/>
        <v>88.09523809523809</v>
      </c>
      <c r="K1020" s="254"/>
    </row>
    <row r="1021" spans="1:11" ht="15">
      <c r="A1021" s="92"/>
      <c r="B1021" s="85" t="s">
        <v>1795</v>
      </c>
      <c r="C1021" s="85" t="s">
        <v>1598</v>
      </c>
      <c r="D1021" s="85" t="s">
        <v>8</v>
      </c>
      <c r="E1021" s="85" t="s">
        <v>1880</v>
      </c>
      <c r="F1021" s="90">
        <v>420</v>
      </c>
      <c r="G1021" s="90"/>
      <c r="H1021" s="201"/>
      <c r="I1021" s="379">
        <f>H1021/F1021*100</f>
        <v>0</v>
      </c>
      <c r="J1021" s="379"/>
      <c r="K1021" s="254"/>
    </row>
    <row r="1022" spans="1:11" ht="24">
      <c r="A1022" s="87" t="s">
        <v>9</v>
      </c>
      <c r="B1022" s="85" t="s">
        <v>1795</v>
      </c>
      <c r="C1022" s="85" t="s">
        <v>1598</v>
      </c>
      <c r="D1022" s="85" t="s">
        <v>10</v>
      </c>
      <c r="E1022" s="85" t="s">
        <v>1071</v>
      </c>
      <c r="F1022" s="243">
        <f>F1023+F1024</f>
        <v>359.3</v>
      </c>
      <c r="G1022" s="243">
        <f>G1023+G1024</f>
        <v>359.3</v>
      </c>
      <c r="H1022" s="243">
        <f>H1023+H1024</f>
        <v>286.9</v>
      </c>
      <c r="I1022" s="379">
        <f>H1022/F1022*100</f>
        <v>79.8497077650988</v>
      </c>
      <c r="J1022" s="379">
        <f t="shared" si="64"/>
        <v>79.8497077650988</v>
      </c>
      <c r="K1022" s="254"/>
    </row>
    <row r="1023" spans="1:11" ht="15">
      <c r="A1023" s="87" t="s">
        <v>1786</v>
      </c>
      <c r="B1023" s="85" t="s">
        <v>1795</v>
      </c>
      <c r="C1023" s="85" t="s">
        <v>1598</v>
      </c>
      <c r="D1023" s="85" t="s">
        <v>10</v>
      </c>
      <c r="E1023" s="85" t="s">
        <v>1880</v>
      </c>
      <c r="F1023" s="90">
        <v>359.3</v>
      </c>
      <c r="G1023" s="90">
        <v>0</v>
      </c>
      <c r="H1023" s="201"/>
      <c r="I1023" s="379">
        <f>H1023/F1023*100</f>
        <v>0</v>
      </c>
      <c r="J1023" s="379"/>
      <c r="K1023" s="254"/>
    </row>
    <row r="1024" spans="1:11" ht="15">
      <c r="A1024" s="92" t="s">
        <v>1718</v>
      </c>
      <c r="B1024" s="85" t="s">
        <v>1795</v>
      </c>
      <c r="C1024" s="85" t="s">
        <v>1598</v>
      </c>
      <c r="D1024" s="85" t="s">
        <v>10</v>
      </c>
      <c r="E1024" s="85" t="s">
        <v>1719</v>
      </c>
      <c r="F1024" s="90"/>
      <c r="G1024" s="90">
        <v>359.3</v>
      </c>
      <c r="H1024" s="201">
        <v>286.9</v>
      </c>
      <c r="I1024" s="379"/>
      <c r="J1024" s="379">
        <f t="shared" si="64"/>
        <v>79.8497077650988</v>
      </c>
      <c r="K1024" s="254"/>
    </row>
    <row r="1025" spans="1:11" ht="24">
      <c r="A1025" s="87" t="s">
        <v>11</v>
      </c>
      <c r="B1025" s="85" t="s">
        <v>1795</v>
      </c>
      <c r="C1025" s="85" t="s">
        <v>1598</v>
      </c>
      <c r="D1025" s="85" t="s">
        <v>12</v>
      </c>
      <c r="E1025" s="85" t="s">
        <v>1071</v>
      </c>
      <c r="F1025" s="243">
        <f>F1026+F1027</f>
        <v>204.2</v>
      </c>
      <c r="G1025" s="243">
        <f>G1026+G1027</f>
        <v>204.2</v>
      </c>
      <c r="H1025" s="243">
        <f>H1026+H1027</f>
        <v>176.6</v>
      </c>
      <c r="I1025" s="379">
        <f>H1025/F1025*100</f>
        <v>86.48383937316356</v>
      </c>
      <c r="J1025" s="379">
        <f t="shared" si="64"/>
        <v>86.48383937316356</v>
      </c>
      <c r="K1025" s="254"/>
    </row>
    <row r="1026" spans="1:11" ht="15">
      <c r="A1026" s="87" t="s">
        <v>1786</v>
      </c>
      <c r="B1026" s="85" t="s">
        <v>1795</v>
      </c>
      <c r="C1026" s="85" t="s">
        <v>1598</v>
      </c>
      <c r="D1026" s="85" t="s">
        <v>12</v>
      </c>
      <c r="E1026" s="85" t="s">
        <v>1880</v>
      </c>
      <c r="F1026" s="90">
        <v>204.2</v>
      </c>
      <c r="G1026" s="90">
        <v>0</v>
      </c>
      <c r="H1026" s="201"/>
      <c r="I1026" s="379">
        <f>H1026/F1026*100</f>
        <v>0</v>
      </c>
      <c r="J1026" s="379"/>
      <c r="K1026" s="254"/>
    </row>
    <row r="1027" spans="1:11" ht="15">
      <c r="A1027" s="92" t="s">
        <v>1718</v>
      </c>
      <c r="B1027" s="85" t="s">
        <v>1795</v>
      </c>
      <c r="C1027" s="85" t="s">
        <v>1598</v>
      </c>
      <c r="D1027" s="85" t="s">
        <v>12</v>
      </c>
      <c r="E1027" s="85" t="s">
        <v>1719</v>
      </c>
      <c r="F1027" s="90"/>
      <c r="G1027" s="90">
        <v>204.2</v>
      </c>
      <c r="H1027" s="201">
        <v>176.6</v>
      </c>
      <c r="I1027" s="379"/>
      <c r="J1027" s="379">
        <f t="shared" si="64"/>
        <v>86.48383937316356</v>
      </c>
      <c r="K1027" s="254"/>
    </row>
    <row r="1028" spans="1:11" ht="24">
      <c r="A1028" s="87" t="s">
        <v>889</v>
      </c>
      <c r="B1028" s="85" t="s">
        <v>1795</v>
      </c>
      <c r="C1028" s="85" t="s">
        <v>1598</v>
      </c>
      <c r="D1028" s="85" t="s">
        <v>890</v>
      </c>
      <c r="E1028" s="85" t="s">
        <v>1071</v>
      </c>
      <c r="F1028" s="243">
        <f>F1029+F1030</f>
        <v>360.8</v>
      </c>
      <c r="G1028" s="243">
        <f>G1029+G1030</f>
        <v>360.8</v>
      </c>
      <c r="H1028" s="243">
        <f>H1029+H1030</f>
        <v>285.5</v>
      </c>
      <c r="I1028" s="379">
        <f>H1028/F1028*100</f>
        <v>79.12971175166297</v>
      </c>
      <c r="J1028" s="379">
        <f t="shared" si="64"/>
        <v>79.12971175166297</v>
      </c>
      <c r="K1028" s="254"/>
    </row>
    <row r="1029" spans="1:11" ht="15">
      <c r="A1029" s="87" t="s">
        <v>1786</v>
      </c>
      <c r="B1029" s="85" t="s">
        <v>1795</v>
      </c>
      <c r="C1029" s="85" t="s">
        <v>1598</v>
      </c>
      <c r="D1029" s="85" t="s">
        <v>890</v>
      </c>
      <c r="E1029" s="85" t="s">
        <v>1880</v>
      </c>
      <c r="F1029" s="90">
        <v>360.8</v>
      </c>
      <c r="G1029" s="90">
        <v>0</v>
      </c>
      <c r="H1029" s="201"/>
      <c r="I1029" s="379">
        <f>H1029/F1029*100</f>
        <v>0</v>
      </c>
      <c r="J1029" s="379"/>
      <c r="K1029" s="254"/>
    </row>
    <row r="1030" spans="1:11" ht="15">
      <c r="A1030" s="92" t="s">
        <v>1718</v>
      </c>
      <c r="B1030" s="85" t="s">
        <v>1795</v>
      </c>
      <c r="C1030" s="85" t="s">
        <v>1598</v>
      </c>
      <c r="D1030" s="85" t="s">
        <v>890</v>
      </c>
      <c r="E1030" s="85" t="s">
        <v>1719</v>
      </c>
      <c r="F1030" s="90"/>
      <c r="G1030" s="90">
        <v>360.8</v>
      </c>
      <c r="H1030" s="201">
        <v>285.5</v>
      </c>
      <c r="I1030" s="379"/>
      <c r="J1030" s="379">
        <f t="shared" si="64"/>
        <v>79.12971175166297</v>
      </c>
      <c r="K1030" s="254"/>
    </row>
    <row r="1031" spans="1:11" ht="24">
      <c r="A1031" s="87" t="s">
        <v>788</v>
      </c>
      <c r="B1031" s="85" t="s">
        <v>1795</v>
      </c>
      <c r="C1031" s="85" t="s">
        <v>1598</v>
      </c>
      <c r="D1031" s="85" t="s">
        <v>789</v>
      </c>
      <c r="E1031" s="85" t="s">
        <v>1071</v>
      </c>
      <c r="F1031" s="243">
        <f>F1032+F1033</f>
        <v>46.1</v>
      </c>
      <c r="G1031" s="243">
        <f>G1032+G1033</f>
        <v>46.1</v>
      </c>
      <c r="H1031" s="243">
        <f>H1032+H1033</f>
        <v>35</v>
      </c>
      <c r="I1031" s="379">
        <f>H1031/F1031*100</f>
        <v>75.92190889370933</v>
      </c>
      <c r="J1031" s="379">
        <f t="shared" si="64"/>
        <v>75.92190889370933</v>
      </c>
      <c r="K1031" s="254"/>
    </row>
    <row r="1032" spans="1:11" ht="15">
      <c r="A1032" s="87" t="s">
        <v>1786</v>
      </c>
      <c r="B1032" s="85" t="s">
        <v>1795</v>
      </c>
      <c r="C1032" s="85" t="s">
        <v>1598</v>
      </c>
      <c r="D1032" s="85" t="s">
        <v>789</v>
      </c>
      <c r="E1032" s="85" t="s">
        <v>1880</v>
      </c>
      <c r="F1032" s="90">
        <v>46.1</v>
      </c>
      <c r="G1032" s="90">
        <v>0</v>
      </c>
      <c r="H1032" s="201"/>
      <c r="I1032" s="379">
        <f>H1032/F1032*100</f>
        <v>0</v>
      </c>
      <c r="J1032" s="379"/>
      <c r="K1032" s="254"/>
    </row>
    <row r="1033" spans="1:11" ht="15">
      <c r="A1033" s="92" t="s">
        <v>1718</v>
      </c>
      <c r="B1033" s="85" t="s">
        <v>1795</v>
      </c>
      <c r="C1033" s="85" t="s">
        <v>1598</v>
      </c>
      <c r="D1033" s="85" t="s">
        <v>789</v>
      </c>
      <c r="E1033" s="85" t="s">
        <v>1719</v>
      </c>
      <c r="F1033" s="90"/>
      <c r="G1033" s="90">
        <v>46.1</v>
      </c>
      <c r="H1033" s="201">
        <v>35</v>
      </c>
      <c r="I1033" s="379"/>
      <c r="J1033" s="379">
        <f t="shared" si="64"/>
        <v>75.92190889370933</v>
      </c>
      <c r="K1033" s="254"/>
    </row>
    <row r="1034" spans="1:11" ht="24">
      <c r="A1034" s="87" t="s">
        <v>790</v>
      </c>
      <c r="B1034" s="85" t="s">
        <v>1795</v>
      </c>
      <c r="C1034" s="85" t="s">
        <v>1598</v>
      </c>
      <c r="D1034" s="85" t="s">
        <v>791</v>
      </c>
      <c r="E1034" s="85" t="s">
        <v>1071</v>
      </c>
      <c r="F1034" s="243">
        <f>F1035+F1036</f>
        <v>47.6</v>
      </c>
      <c r="G1034" s="243">
        <f>G1035+G1036</f>
        <v>47.6</v>
      </c>
      <c r="H1034" s="243">
        <f>H1035+H1036</f>
        <v>23</v>
      </c>
      <c r="I1034" s="379">
        <f>H1034/F1034*100</f>
        <v>48.319327731092436</v>
      </c>
      <c r="J1034" s="379">
        <f t="shared" si="64"/>
        <v>48.319327731092436</v>
      </c>
      <c r="K1034" s="254"/>
    </row>
    <row r="1035" spans="1:11" ht="15">
      <c r="A1035" s="87" t="s">
        <v>1786</v>
      </c>
      <c r="B1035" s="85" t="s">
        <v>1795</v>
      </c>
      <c r="C1035" s="85" t="s">
        <v>1598</v>
      </c>
      <c r="D1035" s="85" t="s">
        <v>791</v>
      </c>
      <c r="E1035" s="85" t="s">
        <v>1880</v>
      </c>
      <c r="F1035" s="90">
        <v>47.6</v>
      </c>
      <c r="G1035" s="90">
        <v>0</v>
      </c>
      <c r="H1035" s="201"/>
      <c r="I1035" s="379">
        <f>H1035/F1035*100</f>
        <v>0</v>
      </c>
      <c r="J1035" s="379"/>
      <c r="K1035" s="254"/>
    </row>
    <row r="1036" spans="1:11" ht="15">
      <c r="A1036" s="92" t="s">
        <v>1718</v>
      </c>
      <c r="B1036" s="85" t="s">
        <v>1795</v>
      </c>
      <c r="C1036" s="85" t="s">
        <v>1598</v>
      </c>
      <c r="D1036" s="85" t="s">
        <v>791</v>
      </c>
      <c r="E1036" s="85" t="s">
        <v>1719</v>
      </c>
      <c r="F1036" s="90"/>
      <c r="G1036" s="90">
        <v>47.6</v>
      </c>
      <c r="H1036" s="201">
        <v>23</v>
      </c>
      <c r="I1036" s="379"/>
      <c r="J1036" s="379">
        <f t="shared" si="64"/>
        <v>48.319327731092436</v>
      </c>
      <c r="K1036" s="254"/>
    </row>
    <row r="1037" spans="1:11" ht="24">
      <c r="A1037" s="87" t="s">
        <v>792</v>
      </c>
      <c r="B1037" s="85" t="s">
        <v>1795</v>
      </c>
      <c r="C1037" s="85" t="s">
        <v>1598</v>
      </c>
      <c r="D1037" s="85" t="s">
        <v>793</v>
      </c>
      <c r="E1037" s="85" t="s">
        <v>1071</v>
      </c>
      <c r="F1037" s="243">
        <f>F1038+F1039</f>
        <v>39.9</v>
      </c>
      <c r="G1037" s="243">
        <f>G1038+G1039</f>
        <v>39.9</v>
      </c>
      <c r="H1037" s="243">
        <f>H1038+H1039</f>
        <v>35.3</v>
      </c>
      <c r="I1037" s="379">
        <f>H1037/F1037*100</f>
        <v>88.47117794486216</v>
      </c>
      <c r="J1037" s="379">
        <f t="shared" si="64"/>
        <v>88.47117794486216</v>
      </c>
      <c r="K1037" s="254"/>
    </row>
    <row r="1038" spans="1:11" ht="15">
      <c r="A1038" s="87" t="s">
        <v>1786</v>
      </c>
      <c r="B1038" s="85" t="s">
        <v>1795</v>
      </c>
      <c r="C1038" s="85" t="s">
        <v>1598</v>
      </c>
      <c r="D1038" s="85" t="s">
        <v>793</v>
      </c>
      <c r="E1038" s="85" t="s">
        <v>1880</v>
      </c>
      <c r="F1038" s="90">
        <v>39.9</v>
      </c>
      <c r="G1038" s="90">
        <v>0</v>
      </c>
      <c r="H1038" s="201"/>
      <c r="I1038" s="379">
        <f>H1038/F1038*100</f>
        <v>0</v>
      </c>
      <c r="J1038" s="379"/>
      <c r="K1038" s="254"/>
    </row>
    <row r="1039" spans="1:11" ht="15">
      <c r="A1039" s="92" t="s">
        <v>1718</v>
      </c>
      <c r="B1039" s="85" t="s">
        <v>1795</v>
      </c>
      <c r="C1039" s="85" t="s">
        <v>1598</v>
      </c>
      <c r="D1039" s="85" t="s">
        <v>793</v>
      </c>
      <c r="E1039" s="85" t="s">
        <v>1719</v>
      </c>
      <c r="F1039" s="90"/>
      <c r="G1039" s="90">
        <v>39.9</v>
      </c>
      <c r="H1039" s="201">
        <v>35.3</v>
      </c>
      <c r="I1039" s="379"/>
      <c r="J1039" s="379">
        <f aca="true" t="shared" si="66" ref="J1039:J1099">H1039/G1039*100</f>
        <v>88.47117794486216</v>
      </c>
      <c r="K1039" s="254"/>
    </row>
    <row r="1040" spans="1:11" ht="24">
      <c r="A1040" s="87" t="s">
        <v>794</v>
      </c>
      <c r="B1040" s="85" t="s">
        <v>1795</v>
      </c>
      <c r="C1040" s="85" t="s">
        <v>1598</v>
      </c>
      <c r="D1040" s="85" t="s">
        <v>795</v>
      </c>
      <c r="E1040" s="85" t="s">
        <v>1071</v>
      </c>
      <c r="F1040" s="243">
        <f>F1041+F1042</f>
        <v>24.6</v>
      </c>
      <c r="G1040" s="243">
        <f>G1041+G1042</f>
        <v>24.6</v>
      </c>
      <c r="H1040" s="243">
        <f>H1041+H1042</f>
        <v>13.7</v>
      </c>
      <c r="I1040" s="379">
        <f>H1040/F1040*100</f>
        <v>55.6910569105691</v>
      </c>
      <c r="J1040" s="379">
        <f t="shared" si="66"/>
        <v>55.6910569105691</v>
      </c>
      <c r="K1040" s="254"/>
    </row>
    <row r="1041" spans="1:11" ht="15">
      <c r="A1041" s="87" t="s">
        <v>1786</v>
      </c>
      <c r="B1041" s="85" t="s">
        <v>1795</v>
      </c>
      <c r="C1041" s="85" t="s">
        <v>1598</v>
      </c>
      <c r="D1041" s="85" t="s">
        <v>795</v>
      </c>
      <c r="E1041" s="85" t="s">
        <v>1880</v>
      </c>
      <c r="F1041" s="90">
        <v>24.6</v>
      </c>
      <c r="G1041" s="90">
        <v>0</v>
      </c>
      <c r="H1041" s="201"/>
      <c r="I1041" s="379">
        <f>H1041/F1041*100</f>
        <v>0</v>
      </c>
      <c r="J1041" s="379"/>
      <c r="K1041" s="254"/>
    </row>
    <row r="1042" spans="1:11" ht="15">
      <c r="A1042" s="92" t="s">
        <v>1718</v>
      </c>
      <c r="B1042" s="85" t="s">
        <v>1795</v>
      </c>
      <c r="C1042" s="85" t="s">
        <v>1598</v>
      </c>
      <c r="D1042" s="85" t="s">
        <v>795</v>
      </c>
      <c r="E1042" s="85" t="s">
        <v>1719</v>
      </c>
      <c r="F1042" s="90"/>
      <c r="G1042" s="90">
        <v>24.6</v>
      </c>
      <c r="H1042" s="201">
        <v>13.7</v>
      </c>
      <c r="I1042" s="379"/>
      <c r="J1042" s="379">
        <f t="shared" si="66"/>
        <v>55.6910569105691</v>
      </c>
      <c r="K1042" s="254"/>
    </row>
    <row r="1043" spans="1:11" ht="24">
      <c r="A1043" s="87" t="s">
        <v>796</v>
      </c>
      <c r="B1043" s="85" t="s">
        <v>1795</v>
      </c>
      <c r="C1043" s="85" t="s">
        <v>1598</v>
      </c>
      <c r="D1043" s="85" t="s">
        <v>429</v>
      </c>
      <c r="E1043" s="85" t="s">
        <v>1071</v>
      </c>
      <c r="F1043" s="243">
        <f>F1044+F1045</f>
        <v>2060.5</v>
      </c>
      <c r="G1043" s="243">
        <f>G1044+G1045</f>
        <v>2060.5</v>
      </c>
      <c r="H1043" s="243">
        <f>H1044+H1045</f>
        <v>1939.4</v>
      </c>
      <c r="I1043" s="379">
        <f>H1043/F1043*100</f>
        <v>94.12278573161854</v>
      </c>
      <c r="J1043" s="379">
        <f t="shared" si="66"/>
        <v>94.12278573161854</v>
      </c>
      <c r="K1043" s="254"/>
    </row>
    <row r="1044" spans="1:11" ht="15">
      <c r="A1044" s="87" t="s">
        <v>1786</v>
      </c>
      <c r="B1044" s="85" t="s">
        <v>1795</v>
      </c>
      <c r="C1044" s="85" t="s">
        <v>1598</v>
      </c>
      <c r="D1044" s="85" t="s">
        <v>429</v>
      </c>
      <c r="E1044" s="85" t="s">
        <v>1880</v>
      </c>
      <c r="F1044" s="90">
        <v>2060.5</v>
      </c>
      <c r="G1044" s="90">
        <v>0</v>
      </c>
      <c r="H1044" s="201"/>
      <c r="I1044" s="379">
        <f>H1044/F1044*100</f>
        <v>0</v>
      </c>
      <c r="J1044" s="379"/>
      <c r="K1044" s="254"/>
    </row>
    <row r="1045" spans="1:11" ht="15">
      <c r="A1045" s="92" t="s">
        <v>1718</v>
      </c>
      <c r="B1045" s="85" t="s">
        <v>1795</v>
      </c>
      <c r="C1045" s="85" t="s">
        <v>1598</v>
      </c>
      <c r="D1045" s="85" t="s">
        <v>429</v>
      </c>
      <c r="E1045" s="85" t="s">
        <v>1719</v>
      </c>
      <c r="F1045" s="90"/>
      <c r="G1045" s="90">
        <v>2060.5</v>
      </c>
      <c r="H1045" s="201">
        <v>1939.4</v>
      </c>
      <c r="I1045" s="379"/>
      <c r="J1045" s="379">
        <f t="shared" si="66"/>
        <v>94.12278573161854</v>
      </c>
      <c r="K1045" s="254"/>
    </row>
    <row r="1046" spans="1:11" ht="24">
      <c r="A1046" s="87" t="s">
        <v>1108</v>
      </c>
      <c r="B1046" s="85" t="s">
        <v>1795</v>
      </c>
      <c r="C1046" s="85" t="s">
        <v>1598</v>
      </c>
      <c r="D1046" s="85" t="s">
        <v>978</v>
      </c>
      <c r="E1046" s="85" t="s">
        <v>1071</v>
      </c>
      <c r="F1046" s="243">
        <f>F1047+F1048</f>
        <v>30.7</v>
      </c>
      <c r="G1046" s="243">
        <f>G1047+G1048</f>
        <v>33.8</v>
      </c>
      <c r="H1046" s="243">
        <f>H1047+H1048</f>
        <v>27.6</v>
      </c>
      <c r="I1046" s="379">
        <f>H1046/F1046*100</f>
        <v>89.90228013029316</v>
      </c>
      <c r="J1046" s="379">
        <f t="shared" si="66"/>
        <v>81.65680473372781</v>
      </c>
      <c r="K1046" s="254"/>
    </row>
    <row r="1047" spans="1:11" ht="15">
      <c r="A1047" s="87" t="s">
        <v>1786</v>
      </c>
      <c r="B1047" s="85" t="s">
        <v>1795</v>
      </c>
      <c r="C1047" s="85" t="s">
        <v>1598</v>
      </c>
      <c r="D1047" s="85" t="s">
        <v>978</v>
      </c>
      <c r="E1047" s="85" t="s">
        <v>1880</v>
      </c>
      <c r="F1047" s="90">
        <v>30.7</v>
      </c>
      <c r="G1047" s="90">
        <v>0</v>
      </c>
      <c r="H1047" s="201"/>
      <c r="I1047" s="379">
        <f>H1047/F1047*100</f>
        <v>0</v>
      </c>
      <c r="J1047" s="379"/>
      <c r="K1047" s="254"/>
    </row>
    <row r="1048" spans="1:11" ht="15">
      <c r="A1048" s="92" t="s">
        <v>1718</v>
      </c>
      <c r="B1048" s="85" t="s">
        <v>1795</v>
      </c>
      <c r="C1048" s="85" t="s">
        <v>1598</v>
      </c>
      <c r="D1048" s="85" t="s">
        <v>978</v>
      </c>
      <c r="E1048" s="85" t="s">
        <v>1719</v>
      </c>
      <c r="F1048" s="90"/>
      <c r="G1048" s="90">
        <v>33.8</v>
      </c>
      <c r="H1048" s="201">
        <v>27.6</v>
      </c>
      <c r="I1048" s="379"/>
      <c r="J1048" s="379">
        <f t="shared" si="66"/>
        <v>81.65680473372781</v>
      </c>
      <c r="K1048" s="254"/>
    </row>
    <row r="1049" spans="1:11" ht="24">
      <c r="A1049" s="87" t="s">
        <v>979</v>
      </c>
      <c r="B1049" s="85" t="s">
        <v>1795</v>
      </c>
      <c r="C1049" s="85" t="s">
        <v>1598</v>
      </c>
      <c r="D1049" s="85" t="s">
        <v>980</v>
      </c>
      <c r="E1049" s="85" t="s">
        <v>1071</v>
      </c>
      <c r="F1049" s="243">
        <f>F1050+F1051</f>
        <v>3000</v>
      </c>
      <c r="G1049" s="243">
        <f>G1050+G1051</f>
        <v>0</v>
      </c>
      <c r="H1049" s="201"/>
      <c r="I1049" s="379">
        <f>H1049/F1049*100</f>
        <v>0</v>
      </c>
      <c r="J1049" s="379"/>
      <c r="K1049" s="254"/>
    </row>
    <row r="1050" spans="1:11" ht="15">
      <c r="A1050" s="87" t="s">
        <v>1786</v>
      </c>
      <c r="B1050" s="85" t="s">
        <v>1795</v>
      </c>
      <c r="C1050" s="85" t="s">
        <v>1598</v>
      </c>
      <c r="D1050" s="85" t="s">
        <v>980</v>
      </c>
      <c r="E1050" s="85" t="s">
        <v>1880</v>
      </c>
      <c r="F1050" s="90">
        <v>3000</v>
      </c>
      <c r="G1050" s="243"/>
      <c r="H1050" s="201"/>
      <c r="I1050" s="379"/>
      <c r="J1050" s="379"/>
      <c r="K1050" s="254"/>
    </row>
    <row r="1051" spans="1:11" ht="15.75" hidden="1">
      <c r="A1051" s="92" t="s">
        <v>1718</v>
      </c>
      <c r="B1051" s="85" t="s">
        <v>1795</v>
      </c>
      <c r="C1051" s="85" t="s">
        <v>1598</v>
      </c>
      <c r="D1051" s="85" t="s">
        <v>980</v>
      </c>
      <c r="E1051" s="85" t="s">
        <v>1719</v>
      </c>
      <c r="F1051" s="90"/>
      <c r="G1051" s="90"/>
      <c r="H1051" s="201"/>
      <c r="I1051" s="379"/>
      <c r="J1051" s="379"/>
      <c r="K1051" s="254"/>
    </row>
    <row r="1052" spans="1:11" ht="24">
      <c r="A1052" s="87" t="s">
        <v>981</v>
      </c>
      <c r="B1052" s="85" t="s">
        <v>1795</v>
      </c>
      <c r="C1052" s="85" t="s">
        <v>1598</v>
      </c>
      <c r="D1052" s="85" t="s">
        <v>430</v>
      </c>
      <c r="E1052" s="85" t="s">
        <v>1071</v>
      </c>
      <c r="F1052" s="243">
        <f>F1053+F1054</f>
        <v>300.5</v>
      </c>
      <c r="G1052" s="243">
        <f>G1053+G1054</f>
        <v>197.39999999999998</v>
      </c>
      <c r="H1052" s="243">
        <f>H1053+H1054</f>
        <v>103.5</v>
      </c>
      <c r="I1052" s="379">
        <f>H1052/F1052*100</f>
        <v>34.44259567387687</v>
      </c>
      <c r="J1052" s="379">
        <f t="shared" si="66"/>
        <v>52.43161094224925</v>
      </c>
      <c r="K1052" s="254"/>
    </row>
    <row r="1053" spans="1:11" ht="15">
      <c r="A1053" s="87" t="s">
        <v>1786</v>
      </c>
      <c r="B1053" s="85" t="s">
        <v>1795</v>
      </c>
      <c r="C1053" s="85" t="s">
        <v>1598</v>
      </c>
      <c r="D1053" s="85" t="s">
        <v>430</v>
      </c>
      <c r="E1053" s="85" t="s">
        <v>1880</v>
      </c>
      <c r="F1053" s="90">
        <v>300.5</v>
      </c>
      <c r="G1053" s="243"/>
      <c r="H1053" s="201"/>
      <c r="I1053" s="379">
        <f>H1053/F1053*100</f>
        <v>0</v>
      </c>
      <c r="J1053" s="379"/>
      <c r="K1053" s="254"/>
    </row>
    <row r="1054" spans="1:11" ht="15">
      <c r="A1054" s="92" t="s">
        <v>1718</v>
      </c>
      <c r="B1054" s="85" t="s">
        <v>1795</v>
      </c>
      <c r="C1054" s="85" t="s">
        <v>1598</v>
      </c>
      <c r="D1054" s="85" t="s">
        <v>430</v>
      </c>
      <c r="E1054" s="85" t="s">
        <v>1719</v>
      </c>
      <c r="F1054" s="90"/>
      <c r="G1054" s="90">
        <f>297.4-100</f>
        <v>197.39999999999998</v>
      </c>
      <c r="H1054" s="201">
        <v>103.5</v>
      </c>
      <c r="I1054" s="379"/>
      <c r="J1054" s="379">
        <f t="shared" si="66"/>
        <v>52.43161094224925</v>
      </c>
      <c r="K1054" s="254"/>
    </row>
    <row r="1055" spans="1:11" ht="24">
      <c r="A1055" s="87" t="s">
        <v>982</v>
      </c>
      <c r="B1055" s="85" t="s">
        <v>1795</v>
      </c>
      <c r="C1055" s="85" t="s">
        <v>1598</v>
      </c>
      <c r="D1055" s="85" t="s">
        <v>431</v>
      </c>
      <c r="E1055" s="85" t="s">
        <v>1071</v>
      </c>
      <c r="F1055" s="243">
        <f>F1056+F1057</f>
        <v>1000</v>
      </c>
      <c r="G1055" s="243">
        <f>G1056+G1057</f>
        <v>5779.5</v>
      </c>
      <c r="H1055" s="243">
        <f>H1056+H1057</f>
        <v>5761.6</v>
      </c>
      <c r="I1055" s="421" t="s">
        <v>1212</v>
      </c>
      <c r="J1055" s="379">
        <f t="shared" si="66"/>
        <v>99.69028462669782</v>
      </c>
      <c r="K1055" s="254"/>
    </row>
    <row r="1056" spans="1:11" ht="15">
      <c r="A1056" s="87" t="s">
        <v>1786</v>
      </c>
      <c r="B1056" s="85" t="s">
        <v>1795</v>
      </c>
      <c r="C1056" s="85" t="s">
        <v>1598</v>
      </c>
      <c r="D1056" s="85" t="s">
        <v>431</v>
      </c>
      <c r="E1056" s="85" t="s">
        <v>1880</v>
      </c>
      <c r="F1056" s="90">
        <v>1000</v>
      </c>
      <c r="G1056" s="90">
        <v>0</v>
      </c>
      <c r="H1056" s="201"/>
      <c r="I1056" s="379">
        <f>H1056/F1056*100</f>
        <v>0</v>
      </c>
      <c r="J1056" s="379"/>
      <c r="K1056" s="254"/>
    </row>
    <row r="1057" spans="1:11" ht="15">
      <c r="A1057" s="92" t="s">
        <v>1718</v>
      </c>
      <c r="B1057" s="85" t="s">
        <v>1795</v>
      </c>
      <c r="C1057" s="85" t="s">
        <v>1598</v>
      </c>
      <c r="D1057" s="85" t="s">
        <v>431</v>
      </c>
      <c r="E1057" s="85" t="s">
        <v>1719</v>
      </c>
      <c r="F1057" s="90"/>
      <c r="G1057" s="90">
        <v>5779.5</v>
      </c>
      <c r="H1057" s="201">
        <v>5761.6</v>
      </c>
      <c r="I1057" s="379"/>
      <c r="J1057" s="379">
        <f t="shared" si="66"/>
        <v>99.69028462669782</v>
      </c>
      <c r="K1057" s="254"/>
    </row>
    <row r="1058" spans="1:11" ht="15">
      <c r="A1058" s="87" t="s">
        <v>452</v>
      </c>
      <c r="B1058" s="85" t="s">
        <v>1795</v>
      </c>
      <c r="C1058" s="85" t="s">
        <v>1598</v>
      </c>
      <c r="D1058" s="85" t="s">
        <v>453</v>
      </c>
      <c r="E1058" s="85" t="s">
        <v>1071</v>
      </c>
      <c r="F1058" s="243">
        <f>F1059+F1060</f>
        <v>300</v>
      </c>
      <c r="G1058" s="243">
        <f>G1059+G1060</f>
        <v>0</v>
      </c>
      <c r="H1058" s="201"/>
      <c r="I1058" s="379"/>
      <c r="J1058" s="379"/>
      <c r="K1058" s="254"/>
    </row>
    <row r="1059" spans="1:11" ht="15">
      <c r="A1059" s="87" t="s">
        <v>1786</v>
      </c>
      <c r="B1059" s="85" t="s">
        <v>1795</v>
      </c>
      <c r="C1059" s="85" t="s">
        <v>1598</v>
      </c>
      <c r="D1059" s="85" t="s">
        <v>453</v>
      </c>
      <c r="E1059" s="85" t="s">
        <v>1880</v>
      </c>
      <c r="F1059" s="90">
        <v>300</v>
      </c>
      <c r="G1059" s="243"/>
      <c r="H1059" s="201"/>
      <c r="I1059" s="379"/>
      <c r="J1059" s="379"/>
      <c r="K1059" s="254"/>
    </row>
    <row r="1060" spans="1:11" ht="15.75" hidden="1">
      <c r="A1060" s="92" t="s">
        <v>1718</v>
      </c>
      <c r="B1060" s="85" t="s">
        <v>1795</v>
      </c>
      <c r="C1060" s="85" t="s">
        <v>1598</v>
      </c>
      <c r="D1060" s="85" t="s">
        <v>453</v>
      </c>
      <c r="E1060" s="85" t="s">
        <v>1719</v>
      </c>
      <c r="F1060" s="90">
        <f>300-300</f>
        <v>0</v>
      </c>
      <c r="G1060" s="90">
        <f>300-300</f>
        <v>0</v>
      </c>
      <c r="H1060" s="201"/>
      <c r="I1060" s="379"/>
      <c r="J1060" s="379"/>
      <c r="K1060" s="254"/>
    </row>
    <row r="1061" spans="1:11" ht="24">
      <c r="A1061" s="87" t="s">
        <v>454</v>
      </c>
      <c r="B1061" s="85" t="s">
        <v>1795</v>
      </c>
      <c r="C1061" s="85" t="s">
        <v>1598</v>
      </c>
      <c r="D1061" s="85" t="s">
        <v>455</v>
      </c>
      <c r="E1061" s="85"/>
      <c r="F1061" s="243">
        <f>F1062</f>
        <v>0</v>
      </c>
      <c r="G1061" s="243">
        <f>G1062</f>
        <v>1544.3</v>
      </c>
      <c r="H1061" s="243">
        <f>H1062</f>
        <v>1283.6</v>
      </c>
      <c r="I1061" s="379"/>
      <c r="J1061" s="379">
        <f t="shared" si="66"/>
        <v>83.11856504565175</v>
      </c>
      <c r="K1061" s="254"/>
    </row>
    <row r="1062" spans="1:11" ht="15">
      <c r="A1062" s="92" t="s">
        <v>1718</v>
      </c>
      <c r="B1062" s="85" t="s">
        <v>1795</v>
      </c>
      <c r="C1062" s="85" t="s">
        <v>1598</v>
      </c>
      <c r="D1062" s="85" t="s">
        <v>455</v>
      </c>
      <c r="E1062" s="85" t="s">
        <v>1719</v>
      </c>
      <c r="F1062" s="90"/>
      <c r="G1062" s="90">
        <v>1544.3</v>
      </c>
      <c r="H1062" s="201">
        <v>1283.6</v>
      </c>
      <c r="I1062" s="379"/>
      <c r="J1062" s="379">
        <f t="shared" si="66"/>
        <v>83.11856504565175</v>
      </c>
      <c r="K1062" s="254"/>
    </row>
    <row r="1063" spans="1:11" ht="24">
      <c r="A1063" s="87" t="s">
        <v>456</v>
      </c>
      <c r="B1063" s="85" t="s">
        <v>1795</v>
      </c>
      <c r="C1063" s="85" t="s">
        <v>1598</v>
      </c>
      <c r="D1063" s="85" t="s">
        <v>457</v>
      </c>
      <c r="E1063" s="85" t="s">
        <v>1071</v>
      </c>
      <c r="F1063" s="243">
        <f>F1064+F1065</f>
        <v>3000</v>
      </c>
      <c r="G1063" s="243">
        <f>G1064+G1065</f>
        <v>4000</v>
      </c>
      <c r="H1063" s="243">
        <f>H1064+H1065</f>
        <v>3932</v>
      </c>
      <c r="I1063" s="379">
        <f>H1063/F1063*100</f>
        <v>131.06666666666666</v>
      </c>
      <c r="J1063" s="379">
        <f t="shared" si="66"/>
        <v>98.3</v>
      </c>
      <c r="K1063" s="254"/>
    </row>
    <row r="1064" spans="1:11" ht="15">
      <c r="A1064" s="87" t="s">
        <v>1786</v>
      </c>
      <c r="B1064" s="85" t="s">
        <v>1795</v>
      </c>
      <c r="C1064" s="85" t="s">
        <v>1598</v>
      </c>
      <c r="D1064" s="85" t="s">
        <v>457</v>
      </c>
      <c r="E1064" s="85" t="s">
        <v>1880</v>
      </c>
      <c r="F1064" s="90">
        <v>3000</v>
      </c>
      <c r="G1064" s="90">
        <v>0</v>
      </c>
      <c r="H1064" s="201"/>
      <c r="I1064" s="379">
        <f>H1064/F1064*100</f>
        <v>0</v>
      </c>
      <c r="J1064" s="379"/>
      <c r="K1064" s="254"/>
    </row>
    <row r="1065" spans="1:11" ht="15">
      <c r="A1065" s="92" t="s">
        <v>1718</v>
      </c>
      <c r="B1065" s="85" t="s">
        <v>1795</v>
      </c>
      <c r="C1065" s="85" t="s">
        <v>1598</v>
      </c>
      <c r="D1065" s="85" t="s">
        <v>457</v>
      </c>
      <c r="E1065" s="85" t="s">
        <v>1719</v>
      </c>
      <c r="F1065" s="90"/>
      <c r="G1065" s="90">
        <f>3000+1000</f>
        <v>4000</v>
      </c>
      <c r="H1065" s="201">
        <v>3932</v>
      </c>
      <c r="I1065" s="379"/>
      <c r="J1065" s="379">
        <f t="shared" si="66"/>
        <v>98.3</v>
      </c>
      <c r="K1065" s="254"/>
    </row>
    <row r="1066" spans="1:11" ht="15">
      <c r="A1066" s="87" t="s">
        <v>1109</v>
      </c>
      <c r="B1066" s="85" t="s">
        <v>1795</v>
      </c>
      <c r="C1066" s="85" t="s">
        <v>1598</v>
      </c>
      <c r="D1066" s="85" t="s">
        <v>442</v>
      </c>
      <c r="E1066" s="85" t="s">
        <v>1071</v>
      </c>
      <c r="F1066" s="243">
        <f>F1067+F1068</f>
        <v>376</v>
      </c>
      <c r="G1066" s="243">
        <f>G1067+G1068</f>
        <v>376</v>
      </c>
      <c r="H1066" s="243">
        <f>H1067+H1068</f>
        <v>0</v>
      </c>
      <c r="I1066" s="379">
        <f>H1066/F1066*100</f>
        <v>0</v>
      </c>
      <c r="J1066" s="379">
        <f t="shared" si="66"/>
        <v>0</v>
      </c>
      <c r="K1066" s="254"/>
    </row>
    <row r="1067" spans="1:11" ht="15">
      <c r="A1067" s="87" t="s">
        <v>1786</v>
      </c>
      <c r="B1067" s="85" t="s">
        <v>1795</v>
      </c>
      <c r="C1067" s="85" t="s">
        <v>1598</v>
      </c>
      <c r="D1067" s="85" t="s">
        <v>442</v>
      </c>
      <c r="E1067" s="85" t="s">
        <v>1880</v>
      </c>
      <c r="F1067" s="90">
        <v>376</v>
      </c>
      <c r="G1067" s="243"/>
      <c r="H1067" s="201"/>
      <c r="I1067" s="379">
        <f>H1067/F1067*100</f>
        <v>0</v>
      </c>
      <c r="J1067" s="379"/>
      <c r="K1067" s="254"/>
    </row>
    <row r="1068" spans="1:11" ht="15">
      <c r="A1068" s="92" t="s">
        <v>1718</v>
      </c>
      <c r="B1068" s="85" t="s">
        <v>1795</v>
      </c>
      <c r="C1068" s="85" t="s">
        <v>1598</v>
      </c>
      <c r="D1068" s="85" t="s">
        <v>442</v>
      </c>
      <c r="E1068" s="85" t="s">
        <v>1719</v>
      </c>
      <c r="F1068" s="90"/>
      <c r="G1068" s="90">
        <v>376</v>
      </c>
      <c r="H1068" s="201"/>
      <c r="I1068" s="379"/>
      <c r="J1068" s="379">
        <f t="shared" si="66"/>
        <v>0</v>
      </c>
      <c r="K1068" s="254"/>
    </row>
    <row r="1069" spans="1:11" ht="15">
      <c r="A1069" s="93" t="s">
        <v>458</v>
      </c>
      <c r="B1069" s="85" t="s">
        <v>1795</v>
      </c>
      <c r="C1069" s="85" t="s">
        <v>1598</v>
      </c>
      <c r="D1069" s="85" t="s">
        <v>459</v>
      </c>
      <c r="E1069" s="85"/>
      <c r="F1069" s="243">
        <f>F1070</f>
        <v>1053</v>
      </c>
      <c r="G1069" s="243">
        <f>G1070</f>
        <v>120</v>
      </c>
      <c r="H1069" s="243">
        <f>H1070</f>
        <v>119.9</v>
      </c>
      <c r="I1069" s="379">
        <f>H1069/F1069*100</f>
        <v>11.386514719848053</v>
      </c>
      <c r="J1069" s="379">
        <f t="shared" si="66"/>
        <v>99.91666666666667</v>
      </c>
      <c r="K1069" s="254"/>
    </row>
    <row r="1070" spans="1:11" ht="15">
      <c r="A1070" s="87" t="s">
        <v>525</v>
      </c>
      <c r="B1070" s="85" t="s">
        <v>1795</v>
      </c>
      <c r="C1070" s="85" t="s">
        <v>1598</v>
      </c>
      <c r="D1070" s="85" t="s">
        <v>459</v>
      </c>
      <c r="E1070" s="85" t="s">
        <v>1071</v>
      </c>
      <c r="F1070" s="243">
        <f>F1071+F1075</f>
        <v>1053</v>
      </c>
      <c r="G1070" s="243">
        <f>G1071+G1075</f>
        <v>120</v>
      </c>
      <c r="H1070" s="243">
        <f>H1071+H1075</f>
        <v>119.9</v>
      </c>
      <c r="I1070" s="379">
        <f>H1070/F1070*100</f>
        <v>11.386514719848053</v>
      </c>
      <c r="J1070" s="379">
        <f t="shared" si="66"/>
        <v>99.91666666666667</v>
      </c>
      <c r="K1070" s="254"/>
    </row>
    <row r="1071" spans="1:11" ht="15">
      <c r="A1071" s="87" t="s">
        <v>1110</v>
      </c>
      <c r="B1071" s="85" t="s">
        <v>1795</v>
      </c>
      <c r="C1071" s="85" t="s">
        <v>1598</v>
      </c>
      <c r="D1071" s="85" t="s">
        <v>460</v>
      </c>
      <c r="E1071" s="85" t="s">
        <v>1071</v>
      </c>
      <c r="F1071" s="90">
        <f>F1072+F1073</f>
        <v>1053</v>
      </c>
      <c r="G1071" s="90">
        <f>G1072+G1073</f>
        <v>120</v>
      </c>
      <c r="H1071" s="90">
        <f>H1072+H1073</f>
        <v>119.9</v>
      </c>
      <c r="I1071" s="379">
        <f>H1071/F1071*100</f>
        <v>11.386514719848053</v>
      </c>
      <c r="J1071" s="379">
        <f t="shared" si="66"/>
        <v>99.91666666666667</v>
      </c>
      <c r="K1071" s="254"/>
    </row>
    <row r="1072" spans="1:11" ht="15">
      <c r="A1072" s="358" t="s">
        <v>1786</v>
      </c>
      <c r="B1072" s="85" t="s">
        <v>1795</v>
      </c>
      <c r="C1072" s="85" t="s">
        <v>1598</v>
      </c>
      <c r="D1072" s="85" t="s">
        <v>460</v>
      </c>
      <c r="E1072" s="85" t="s">
        <v>1880</v>
      </c>
      <c r="F1072" s="90">
        <v>1053</v>
      </c>
      <c r="G1072" s="90"/>
      <c r="H1072" s="201"/>
      <c r="I1072" s="379">
        <f>H1072/F1072*100</f>
        <v>0</v>
      </c>
      <c r="J1072" s="379"/>
      <c r="K1072" s="254"/>
    </row>
    <row r="1073" spans="1:11" ht="15">
      <c r="A1073" s="87" t="s">
        <v>1729</v>
      </c>
      <c r="B1073" s="85" t="s">
        <v>1795</v>
      </c>
      <c r="C1073" s="85" t="s">
        <v>1598</v>
      </c>
      <c r="D1073" s="85" t="s">
        <v>460</v>
      </c>
      <c r="E1073" s="85" t="s">
        <v>1837</v>
      </c>
      <c r="F1073" s="90"/>
      <c r="G1073" s="90">
        <v>120</v>
      </c>
      <c r="H1073" s="201">
        <v>119.9</v>
      </c>
      <c r="I1073" s="379"/>
      <c r="J1073" s="379">
        <f t="shared" si="66"/>
        <v>99.91666666666667</v>
      </c>
      <c r="K1073" s="254"/>
    </row>
    <row r="1074" spans="1:11" ht="15.75" hidden="1">
      <c r="A1074" s="87" t="s">
        <v>462</v>
      </c>
      <c r="B1074" s="85" t="s">
        <v>1795</v>
      </c>
      <c r="C1074" s="85" t="s">
        <v>1598</v>
      </c>
      <c r="D1074" s="85" t="s">
        <v>463</v>
      </c>
      <c r="E1074" s="85"/>
      <c r="F1074" s="243">
        <f>F1075</f>
        <v>0</v>
      </c>
      <c r="G1074" s="243">
        <f>G1075</f>
        <v>0</v>
      </c>
      <c r="H1074" s="201"/>
      <c r="I1074" s="379"/>
      <c r="J1074" s="379"/>
      <c r="K1074" s="254"/>
    </row>
    <row r="1075" spans="1:11" ht="15.75" hidden="1">
      <c r="A1075" s="87" t="s">
        <v>461</v>
      </c>
      <c r="B1075" s="85" t="s">
        <v>1795</v>
      </c>
      <c r="C1075" s="85" t="s">
        <v>1598</v>
      </c>
      <c r="D1075" s="85" t="s">
        <v>463</v>
      </c>
      <c r="E1075" s="85" t="s">
        <v>1880</v>
      </c>
      <c r="F1075" s="90"/>
      <c r="G1075" s="90"/>
      <c r="H1075" s="201"/>
      <c r="I1075" s="379"/>
      <c r="J1075" s="379"/>
      <c r="K1075" s="254"/>
    </row>
    <row r="1076" spans="1:11" ht="15">
      <c r="A1076" s="87" t="s">
        <v>848</v>
      </c>
      <c r="B1076" s="85" t="s">
        <v>1795</v>
      </c>
      <c r="C1076" s="85" t="s">
        <v>1598</v>
      </c>
      <c r="D1076" s="85" t="s">
        <v>849</v>
      </c>
      <c r="E1076" s="85"/>
      <c r="F1076" s="243">
        <f>F1077</f>
        <v>1222</v>
      </c>
      <c r="G1076" s="243">
        <f>G1077</f>
        <v>0</v>
      </c>
      <c r="H1076" s="201"/>
      <c r="I1076" s="379">
        <f>H1076/F1076*100</f>
        <v>0</v>
      </c>
      <c r="J1076" s="379"/>
      <c r="K1076" s="254"/>
    </row>
    <row r="1077" spans="1:11" ht="96">
      <c r="A1077" s="87" t="s">
        <v>1462</v>
      </c>
      <c r="B1077" s="85" t="s">
        <v>1795</v>
      </c>
      <c r="C1077" s="85" t="s">
        <v>1598</v>
      </c>
      <c r="D1077" s="85" t="s">
        <v>253</v>
      </c>
      <c r="E1077" s="85" t="s">
        <v>1071</v>
      </c>
      <c r="F1077" s="243">
        <f>F1078</f>
        <v>1222</v>
      </c>
      <c r="G1077" s="243">
        <f>G1078</f>
        <v>0</v>
      </c>
      <c r="H1077" s="201"/>
      <c r="I1077" s="379">
        <f>H1077/F1077*100</f>
        <v>0</v>
      </c>
      <c r="J1077" s="379"/>
      <c r="K1077" s="254"/>
    </row>
    <row r="1078" spans="1:11" ht="15">
      <c r="A1078" s="87" t="s">
        <v>461</v>
      </c>
      <c r="B1078" s="85" t="s">
        <v>1795</v>
      </c>
      <c r="C1078" s="85" t="s">
        <v>1598</v>
      </c>
      <c r="D1078" s="85" t="s">
        <v>253</v>
      </c>
      <c r="E1078" s="85" t="s">
        <v>1880</v>
      </c>
      <c r="F1078" s="90">
        <v>1222</v>
      </c>
      <c r="G1078" s="90">
        <v>0</v>
      </c>
      <c r="H1078" s="201"/>
      <c r="I1078" s="379">
        <f>H1078/F1078*100</f>
        <v>0</v>
      </c>
      <c r="J1078" s="379"/>
      <c r="K1078" s="254"/>
    </row>
    <row r="1079" spans="1:11" ht="15">
      <c r="A1079" s="86" t="s">
        <v>854</v>
      </c>
      <c r="B1079" s="85" t="s">
        <v>1795</v>
      </c>
      <c r="C1079" s="85" t="s">
        <v>1598</v>
      </c>
      <c r="D1079" s="85" t="s">
        <v>855</v>
      </c>
      <c r="E1079" s="85"/>
      <c r="F1079" s="246">
        <f>F1080+F1082</f>
        <v>0</v>
      </c>
      <c r="G1079" s="246">
        <f>G1080+G1082</f>
        <v>3641</v>
      </c>
      <c r="H1079" s="246">
        <f>H1080+H1082</f>
        <v>1596.1</v>
      </c>
      <c r="I1079" s="379"/>
      <c r="J1079" s="379">
        <f t="shared" si="66"/>
        <v>43.8368580060423</v>
      </c>
      <c r="K1079" s="254"/>
    </row>
    <row r="1080" spans="1:11" ht="24">
      <c r="A1080" s="92" t="s">
        <v>1463</v>
      </c>
      <c r="B1080" s="85" t="s">
        <v>1795</v>
      </c>
      <c r="C1080" s="85" t="s">
        <v>1598</v>
      </c>
      <c r="D1080" s="85" t="s">
        <v>857</v>
      </c>
      <c r="E1080" s="85" t="s">
        <v>1071</v>
      </c>
      <c r="F1080" s="252">
        <f>F1081</f>
        <v>0</v>
      </c>
      <c r="G1080" s="252">
        <f>G1081</f>
        <v>641.2</v>
      </c>
      <c r="H1080" s="252">
        <f>H1081</f>
        <v>641.2</v>
      </c>
      <c r="I1080" s="379"/>
      <c r="J1080" s="379">
        <f t="shared" si="66"/>
        <v>100</v>
      </c>
      <c r="K1080" s="254"/>
    </row>
    <row r="1081" spans="1:11" ht="24">
      <c r="A1081" s="87" t="s">
        <v>1427</v>
      </c>
      <c r="B1081" s="85" t="s">
        <v>1795</v>
      </c>
      <c r="C1081" s="85" t="s">
        <v>1598</v>
      </c>
      <c r="D1081" s="85" t="s">
        <v>857</v>
      </c>
      <c r="E1081" s="85" t="s">
        <v>326</v>
      </c>
      <c r="F1081" s="84"/>
      <c r="G1081" s="84">
        <v>641.2</v>
      </c>
      <c r="H1081" s="201">
        <v>641.2</v>
      </c>
      <c r="I1081" s="379"/>
      <c r="J1081" s="379">
        <f t="shared" si="66"/>
        <v>100</v>
      </c>
      <c r="K1081" s="254"/>
    </row>
    <row r="1082" spans="1:11" ht="15">
      <c r="A1082" s="87" t="s">
        <v>464</v>
      </c>
      <c r="B1082" s="85" t="s">
        <v>1795</v>
      </c>
      <c r="C1082" s="85" t="s">
        <v>1598</v>
      </c>
      <c r="D1082" s="85" t="s">
        <v>254</v>
      </c>
      <c r="E1082" s="85" t="s">
        <v>1071</v>
      </c>
      <c r="F1082" s="243">
        <f>F1083+F1084</f>
        <v>0</v>
      </c>
      <c r="G1082" s="243">
        <f>G1083+G1084</f>
        <v>2999.8</v>
      </c>
      <c r="H1082" s="243">
        <f>H1083+H1084</f>
        <v>954.9</v>
      </c>
      <c r="I1082" s="379"/>
      <c r="J1082" s="379">
        <f t="shared" si="66"/>
        <v>31.832122141476095</v>
      </c>
      <c r="K1082" s="254"/>
    </row>
    <row r="1083" spans="1:11" ht="15">
      <c r="A1083" s="360" t="s">
        <v>1431</v>
      </c>
      <c r="B1083" s="85" t="s">
        <v>1795</v>
      </c>
      <c r="C1083" s="85" t="s">
        <v>1598</v>
      </c>
      <c r="D1083" s="85" t="s">
        <v>254</v>
      </c>
      <c r="E1083" s="85" t="s">
        <v>1432</v>
      </c>
      <c r="F1083" s="248"/>
      <c r="G1083" s="248">
        <v>1558.5</v>
      </c>
      <c r="H1083" s="201"/>
      <c r="I1083" s="379"/>
      <c r="J1083" s="379">
        <f t="shared" si="66"/>
        <v>0</v>
      </c>
      <c r="K1083" s="254"/>
    </row>
    <row r="1084" spans="1:11" ht="15">
      <c r="A1084" s="87" t="s">
        <v>1433</v>
      </c>
      <c r="B1084" s="85" t="s">
        <v>1795</v>
      </c>
      <c r="C1084" s="85" t="s">
        <v>1598</v>
      </c>
      <c r="D1084" s="85" t="s">
        <v>254</v>
      </c>
      <c r="E1084" s="85" t="s">
        <v>1434</v>
      </c>
      <c r="F1084" s="90"/>
      <c r="G1084" s="90">
        <v>1441.3</v>
      </c>
      <c r="H1084" s="201">
        <v>954.9</v>
      </c>
      <c r="I1084" s="379"/>
      <c r="J1084" s="379">
        <f t="shared" si="66"/>
        <v>66.25268854506349</v>
      </c>
      <c r="K1084" s="254"/>
    </row>
    <row r="1085" spans="1:11" ht="15">
      <c r="A1085" s="86" t="s">
        <v>909</v>
      </c>
      <c r="B1085" s="85" t="s">
        <v>1795</v>
      </c>
      <c r="C1085" s="85" t="s">
        <v>1598</v>
      </c>
      <c r="D1085" s="85" t="s">
        <v>910</v>
      </c>
      <c r="E1085" s="85" t="s">
        <v>1071</v>
      </c>
      <c r="F1085" s="243">
        <f>F1086+F1088+F1091+F1093</f>
        <v>4100</v>
      </c>
      <c r="G1085" s="243">
        <f>G1086+G1088+G1091+G1093</f>
        <v>10696.2</v>
      </c>
      <c r="H1085" s="243">
        <f>H1086+H1088+H1091+H1093</f>
        <v>8291.6</v>
      </c>
      <c r="I1085" s="421" t="s">
        <v>1212</v>
      </c>
      <c r="J1085" s="379">
        <f t="shared" si="66"/>
        <v>77.51911893943644</v>
      </c>
      <c r="K1085" s="254"/>
    </row>
    <row r="1086" spans="1:11" ht="24">
      <c r="A1086" s="87" t="s">
        <v>1697</v>
      </c>
      <c r="B1086" s="85" t="s">
        <v>1795</v>
      </c>
      <c r="C1086" s="85" t="s">
        <v>1598</v>
      </c>
      <c r="D1086" s="85" t="s">
        <v>1700</v>
      </c>
      <c r="E1086" s="85" t="s">
        <v>1071</v>
      </c>
      <c r="F1086" s="243">
        <f>F1087</f>
        <v>0</v>
      </c>
      <c r="G1086" s="243">
        <f>G1087</f>
        <v>3000</v>
      </c>
      <c r="H1086" s="243">
        <f>H1087</f>
        <v>2729</v>
      </c>
      <c r="I1086" s="379"/>
      <c r="J1086" s="379">
        <f t="shared" si="66"/>
        <v>90.96666666666667</v>
      </c>
      <c r="K1086" s="254"/>
    </row>
    <row r="1087" spans="1:11" ht="24">
      <c r="A1087" s="92" t="s">
        <v>1464</v>
      </c>
      <c r="B1087" s="85" t="s">
        <v>1795</v>
      </c>
      <c r="C1087" s="85" t="s">
        <v>1598</v>
      </c>
      <c r="D1087" s="85" t="s">
        <v>1700</v>
      </c>
      <c r="E1087" s="85" t="s">
        <v>1719</v>
      </c>
      <c r="F1087" s="90"/>
      <c r="G1087" s="90">
        <v>3000</v>
      </c>
      <c r="H1087" s="201">
        <v>2729</v>
      </c>
      <c r="I1087" s="379"/>
      <c r="J1087" s="379">
        <f t="shared" si="66"/>
        <v>90.96666666666667</v>
      </c>
      <c r="K1087" s="254"/>
    </row>
    <row r="1088" spans="1:11" ht="24">
      <c r="A1088" s="278" t="s">
        <v>1465</v>
      </c>
      <c r="B1088" s="85" t="s">
        <v>1795</v>
      </c>
      <c r="C1088" s="85" t="s">
        <v>1598</v>
      </c>
      <c r="D1088" s="85" t="s">
        <v>1466</v>
      </c>
      <c r="E1088" s="85" t="s">
        <v>1071</v>
      </c>
      <c r="F1088" s="243">
        <f>F1089+F1090</f>
        <v>500</v>
      </c>
      <c r="G1088" s="243">
        <f>G1089+G1090</f>
        <v>4553</v>
      </c>
      <c r="H1088" s="243">
        <f>H1089+H1090</f>
        <v>4466.6</v>
      </c>
      <c r="I1088" s="421" t="s">
        <v>1212</v>
      </c>
      <c r="J1088" s="379">
        <f t="shared" si="66"/>
        <v>98.10235009883594</v>
      </c>
      <c r="K1088" s="254"/>
    </row>
    <row r="1089" spans="1:11" ht="60">
      <c r="A1089" s="278" t="s">
        <v>1467</v>
      </c>
      <c r="B1089" s="85" t="s">
        <v>1795</v>
      </c>
      <c r="C1089" s="85" t="s">
        <v>1598</v>
      </c>
      <c r="D1089" s="85" t="s">
        <v>1466</v>
      </c>
      <c r="E1089" s="85" t="s">
        <v>1837</v>
      </c>
      <c r="F1089" s="90"/>
      <c r="G1089" s="90">
        <v>1053</v>
      </c>
      <c r="H1089" s="201">
        <v>1053</v>
      </c>
      <c r="I1089" s="379"/>
      <c r="J1089" s="379">
        <f t="shared" si="66"/>
        <v>100</v>
      </c>
      <c r="K1089" s="254"/>
    </row>
    <row r="1090" spans="1:11" ht="24">
      <c r="A1090" s="368" t="s">
        <v>1468</v>
      </c>
      <c r="B1090" s="85" t="s">
        <v>1795</v>
      </c>
      <c r="C1090" s="85" t="s">
        <v>1598</v>
      </c>
      <c r="D1090" s="85" t="s">
        <v>1466</v>
      </c>
      <c r="E1090" s="85" t="s">
        <v>1719</v>
      </c>
      <c r="F1090" s="90">
        <v>500</v>
      </c>
      <c r="G1090" s="90">
        <f>500+3000</f>
        <v>3500</v>
      </c>
      <c r="H1090" s="201">
        <v>3413.6</v>
      </c>
      <c r="I1090" s="421" t="s">
        <v>1212</v>
      </c>
      <c r="J1090" s="379">
        <f t="shared" si="66"/>
        <v>97.53142857142856</v>
      </c>
      <c r="K1090" s="254"/>
    </row>
    <row r="1091" spans="1:11" ht="24">
      <c r="A1091" s="87" t="s">
        <v>1469</v>
      </c>
      <c r="B1091" s="85" t="s">
        <v>1795</v>
      </c>
      <c r="C1091" s="85" t="s">
        <v>1598</v>
      </c>
      <c r="D1091" s="85" t="s">
        <v>1470</v>
      </c>
      <c r="E1091" s="85" t="s">
        <v>1071</v>
      </c>
      <c r="F1091" s="243">
        <f>F1092</f>
        <v>3600</v>
      </c>
      <c r="G1091" s="243">
        <f>G1092</f>
        <v>3000.1</v>
      </c>
      <c r="H1091" s="243">
        <f>H1092</f>
        <v>954.9</v>
      </c>
      <c r="I1091" s="379">
        <f>H1091/F1091*100</f>
        <v>26.525</v>
      </c>
      <c r="J1091" s="379">
        <f t="shared" si="66"/>
        <v>31.82893903536549</v>
      </c>
      <c r="K1091" s="254"/>
    </row>
    <row r="1092" spans="1:11" ht="15">
      <c r="A1092" s="87" t="s">
        <v>1232</v>
      </c>
      <c r="B1092" s="85" t="s">
        <v>1795</v>
      </c>
      <c r="C1092" s="85" t="s">
        <v>1598</v>
      </c>
      <c r="D1092" s="85" t="s">
        <v>1470</v>
      </c>
      <c r="E1092" s="85" t="s">
        <v>1233</v>
      </c>
      <c r="F1092" s="90">
        <v>3600</v>
      </c>
      <c r="G1092" s="90">
        <f>3600-599.9</f>
        <v>3000.1</v>
      </c>
      <c r="H1092" s="201">
        <v>954.9</v>
      </c>
      <c r="I1092" s="379">
        <f>H1092/F1092*100</f>
        <v>26.525</v>
      </c>
      <c r="J1092" s="379">
        <f t="shared" si="66"/>
        <v>31.82893903536549</v>
      </c>
      <c r="K1092" s="254"/>
    </row>
    <row r="1093" spans="1:11" ht="36">
      <c r="A1093" s="355" t="s">
        <v>1471</v>
      </c>
      <c r="B1093" s="85" t="s">
        <v>1795</v>
      </c>
      <c r="C1093" s="85" t="s">
        <v>1598</v>
      </c>
      <c r="D1093" s="85" t="s">
        <v>1472</v>
      </c>
      <c r="E1093" s="85" t="s">
        <v>1071</v>
      </c>
      <c r="F1093" s="243">
        <f>F1095</f>
        <v>0</v>
      </c>
      <c r="G1093" s="243">
        <f>G1095</f>
        <v>143.1</v>
      </c>
      <c r="H1093" s="243">
        <f>H1095</f>
        <v>141.1</v>
      </c>
      <c r="I1093" s="379"/>
      <c r="J1093" s="379">
        <f t="shared" si="66"/>
        <v>98.60237596086652</v>
      </c>
      <c r="K1093" s="254"/>
    </row>
    <row r="1094" spans="1:11" ht="72" hidden="1">
      <c r="A1094" s="278" t="s">
        <v>863</v>
      </c>
      <c r="B1094" s="85" t="s">
        <v>1795</v>
      </c>
      <c r="C1094" s="85" t="s">
        <v>1598</v>
      </c>
      <c r="D1094" s="85" t="s">
        <v>1472</v>
      </c>
      <c r="E1094" s="85" t="s">
        <v>1071</v>
      </c>
      <c r="F1094" s="90"/>
      <c r="G1094" s="90"/>
      <c r="H1094" s="201"/>
      <c r="I1094" s="379"/>
      <c r="J1094" s="379" t="e">
        <f t="shared" si="66"/>
        <v>#DIV/0!</v>
      </c>
      <c r="K1094" s="254"/>
    </row>
    <row r="1095" spans="1:11" ht="15">
      <c r="A1095" s="87" t="s">
        <v>1433</v>
      </c>
      <c r="B1095" s="85" t="s">
        <v>1795</v>
      </c>
      <c r="C1095" s="85" t="s">
        <v>1598</v>
      </c>
      <c r="D1095" s="85" t="s">
        <v>1472</v>
      </c>
      <c r="E1095" s="85" t="s">
        <v>1434</v>
      </c>
      <c r="F1095" s="90"/>
      <c r="G1095" s="90">
        <f>75.8+67.3</f>
        <v>143.1</v>
      </c>
      <c r="H1095" s="201">
        <v>141.1</v>
      </c>
      <c r="I1095" s="379"/>
      <c r="J1095" s="379">
        <f t="shared" si="66"/>
        <v>98.60237596086652</v>
      </c>
      <c r="K1095" s="254"/>
    </row>
    <row r="1096" spans="1:11" ht="15">
      <c r="A1096" s="91" t="s">
        <v>360</v>
      </c>
      <c r="B1096" s="85" t="s">
        <v>1795</v>
      </c>
      <c r="C1096" s="85" t="s">
        <v>1603</v>
      </c>
      <c r="D1096" s="281"/>
      <c r="E1096" s="85"/>
      <c r="F1096" s="243">
        <f>F1106+F1104+F1097</f>
        <v>22571</v>
      </c>
      <c r="G1096" s="243">
        <f>G1106+G1104+G1097</f>
        <v>22963.399999999998</v>
      </c>
      <c r="H1096" s="243">
        <f>H1106+H1104+H1097</f>
        <v>19552.100000000002</v>
      </c>
      <c r="I1096" s="379">
        <f>H1096/F1096*100</f>
        <v>86.62487262416376</v>
      </c>
      <c r="J1096" s="379">
        <f t="shared" si="66"/>
        <v>85.14462144107581</v>
      </c>
      <c r="K1096" s="254"/>
    </row>
    <row r="1097" spans="1:11" ht="15">
      <c r="A1097" s="86" t="s">
        <v>520</v>
      </c>
      <c r="B1097" s="85" t="s">
        <v>1795</v>
      </c>
      <c r="C1097" s="85" t="s">
        <v>1603</v>
      </c>
      <c r="D1097" s="282" t="s">
        <v>1606</v>
      </c>
      <c r="E1097" s="85"/>
      <c r="F1097" s="243">
        <f>F1098+F1100</f>
        <v>2643</v>
      </c>
      <c r="G1097" s="243">
        <f>G1098+G1100</f>
        <v>2643</v>
      </c>
      <c r="H1097" s="243">
        <f>H1098+H1100</f>
        <v>0</v>
      </c>
      <c r="I1097" s="379">
        <f>H1097/F1097*100</f>
        <v>0</v>
      </c>
      <c r="J1097" s="379">
        <f t="shared" si="66"/>
        <v>0</v>
      </c>
      <c r="K1097" s="254"/>
    </row>
    <row r="1098" spans="1:11" ht="36">
      <c r="A1098" s="92" t="s">
        <v>1009</v>
      </c>
      <c r="B1098" s="85" t="s">
        <v>1795</v>
      </c>
      <c r="C1098" s="85" t="s">
        <v>1603</v>
      </c>
      <c r="D1098" s="282" t="s">
        <v>1473</v>
      </c>
      <c r="E1098" s="85" t="s">
        <v>1071</v>
      </c>
      <c r="F1098" s="243">
        <f>F1099</f>
        <v>0</v>
      </c>
      <c r="G1098" s="243">
        <f>G1099</f>
        <v>2643</v>
      </c>
      <c r="H1098" s="243">
        <f>H1099</f>
        <v>0</v>
      </c>
      <c r="I1098" s="379"/>
      <c r="J1098" s="379">
        <f t="shared" si="66"/>
        <v>0</v>
      </c>
      <c r="K1098" s="254"/>
    </row>
    <row r="1099" spans="1:11" ht="15">
      <c r="A1099" s="92" t="s">
        <v>938</v>
      </c>
      <c r="B1099" s="85" t="s">
        <v>1795</v>
      </c>
      <c r="C1099" s="85" t="s">
        <v>1603</v>
      </c>
      <c r="D1099" s="282" t="s">
        <v>1473</v>
      </c>
      <c r="E1099" s="85" t="s">
        <v>742</v>
      </c>
      <c r="F1099" s="90"/>
      <c r="G1099" s="90">
        <v>2643</v>
      </c>
      <c r="H1099" s="201"/>
      <c r="I1099" s="379"/>
      <c r="J1099" s="379">
        <f t="shared" si="66"/>
        <v>0</v>
      </c>
      <c r="K1099" s="254"/>
    </row>
    <row r="1100" spans="1:11" ht="36">
      <c r="A1100" s="92" t="s">
        <v>534</v>
      </c>
      <c r="B1100" s="85" t="s">
        <v>1795</v>
      </c>
      <c r="C1100" s="85" t="s">
        <v>1603</v>
      </c>
      <c r="D1100" s="85" t="s">
        <v>535</v>
      </c>
      <c r="E1100" s="85" t="s">
        <v>1071</v>
      </c>
      <c r="F1100" s="243">
        <f>F1101+F1102</f>
        <v>2643</v>
      </c>
      <c r="G1100" s="243">
        <f>G1101+G1102</f>
        <v>0</v>
      </c>
      <c r="H1100" s="201"/>
      <c r="I1100" s="379">
        <f>H1100/F1100*100</f>
        <v>0</v>
      </c>
      <c r="J1100" s="379"/>
      <c r="K1100" s="254"/>
    </row>
    <row r="1101" spans="1:11" ht="15">
      <c r="A1101" s="92" t="s">
        <v>938</v>
      </c>
      <c r="B1101" s="85" t="s">
        <v>1795</v>
      </c>
      <c r="C1101" s="85" t="s">
        <v>1603</v>
      </c>
      <c r="D1101" s="85" t="s">
        <v>535</v>
      </c>
      <c r="E1101" s="85" t="s">
        <v>1879</v>
      </c>
      <c r="F1101" s="90">
        <v>2643</v>
      </c>
      <c r="G1101" s="243"/>
      <c r="H1101" s="201"/>
      <c r="I1101" s="379">
        <f>H1101/F1101*100</f>
        <v>0</v>
      </c>
      <c r="J1101" s="379"/>
      <c r="K1101" s="254"/>
    </row>
    <row r="1102" spans="1:11" ht="15.75" hidden="1">
      <c r="A1102" s="92" t="s">
        <v>938</v>
      </c>
      <c r="B1102" s="85" t="s">
        <v>1795</v>
      </c>
      <c r="C1102" s="85" t="s">
        <v>1603</v>
      </c>
      <c r="D1102" s="85" t="s">
        <v>535</v>
      </c>
      <c r="E1102" s="85" t="s">
        <v>742</v>
      </c>
      <c r="F1102" s="90">
        <f>2643-2643</f>
        <v>0</v>
      </c>
      <c r="G1102" s="90">
        <f>2643-2643</f>
        <v>0</v>
      </c>
      <c r="H1102" s="201"/>
      <c r="I1102" s="379"/>
      <c r="J1102" s="379"/>
      <c r="K1102" s="254"/>
    </row>
    <row r="1103" spans="1:11" ht="15">
      <c r="A1103" s="87" t="s">
        <v>848</v>
      </c>
      <c r="B1103" s="85" t="s">
        <v>1795</v>
      </c>
      <c r="C1103" s="85" t="s">
        <v>1603</v>
      </c>
      <c r="D1103" s="85" t="s">
        <v>849</v>
      </c>
      <c r="E1103" s="85"/>
      <c r="F1103" s="243">
        <f>F1104+F1106</f>
        <v>19928</v>
      </c>
      <c r="G1103" s="243">
        <f>G1104+G1106</f>
        <v>20320.399999999998</v>
      </c>
      <c r="H1103" s="243">
        <f>H1104+H1106</f>
        <v>19552.100000000002</v>
      </c>
      <c r="I1103" s="379">
        <f>H1103/F1103*100</f>
        <v>98.11370935367324</v>
      </c>
      <c r="J1103" s="379">
        <f aca="true" t="shared" si="67" ref="J1103:J1165">H1103/G1103*100</f>
        <v>96.21907049073839</v>
      </c>
      <c r="K1103" s="254"/>
    </row>
    <row r="1104" spans="1:11" ht="48">
      <c r="A1104" s="92" t="s">
        <v>877</v>
      </c>
      <c r="B1104" s="85" t="s">
        <v>1795</v>
      </c>
      <c r="C1104" s="85" t="s">
        <v>1603</v>
      </c>
      <c r="D1104" s="85" t="s">
        <v>550</v>
      </c>
      <c r="E1104" s="85" t="s">
        <v>1071</v>
      </c>
      <c r="F1104" s="243">
        <f>F1105</f>
        <v>19928</v>
      </c>
      <c r="G1104" s="243"/>
      <c r="H1104" s="201"/>
      <c r="I1104" s="379">
        <f>H1104/F1104*100</f>
        <v>0</v>
      </c>
      <c r="J1104" s="379"/>
      <c r="K1104" s="254"/>
    </row>
    <row r="1105" spans="1:11" ht="15">
      <c r="A1105" s="87" t="s">
        <v>461</v>
      </c>
      <c r="B1105" s="85" t="s">
        <v>1795</v>
      </c>
      <c r="C1105" s="85" t="s">
        <v>1603</v>
      </c>
      <c r="D1105" s="85" t="s">
        <v>550</v>
      </c>
      <c r="E1105" s="85" t="s">
        <v>1880</v>
      </c>
      <c r="F1105" s="90">
        <v>19928</v>
      </c>
      <c r="G1105" s="243"/>
      <c r="H1105" s="201"/>
      <c r="I1105" s="379">
        <f>H1105/F1105*100</f>
        <v>0</v>
      </c>
      <c r="J1105" s="379"/>
      <c r="K1105" s="254"/>
    </row>
    <row r="1106" spans="1:11" ht="60">
      <c r="A1106" s="92" t="s">
        <v>1474</v>
      </c>
      <c r="B1106" s="85" t="s">
        <v>1795</v>
      </c>
      <c r="C1106" s="85" t="s">
        <v>1603</v>
      </c>
      <c r="D1106" s="85" t="s">
        <v>1475</v>
      </c>
      <c r="E1106" s="85" t="s">
        <v>1071</v>
      </c>
      <c r="F1106" s="243">
        <f>F1109+F1110</f>
        <v>0</v>
      </c>
      <c r="G1106" s="243">
        <f>G1109+G1110</f>
        <v>20320.399999999998</v>
      </c>
      <c r="H1106" s="243">
        <f>H1109+H1110</f>
        <v>19552.100000000002</v>
      </c>
      <c r="I1106" s="379"/>
      <c r="J1106" s="379">
        <f t="shared" si="67"/>
        <v>96.21907049073839</v>
      </c>
      <c r="K1106" s="254"/>
    </row>
    <row r="1107" spans="1:11" ht="15.75" hidden="1">
      <c r="A1107" s="92" t="s">
        <v>1758</v>
      </c>
      <c r="B1107" s="85" t="s">
        <v>1795</v>
      </c>
      <c r="C1107" s="85" t="s">
        <v>1603</v>
      </c>
      <c r="D1107" s="85" t="s">
        <v>426</v>
      </c>
      <c r="E1107" s="85" t="s">
        <v>1878</v>
      </c>
      <c r="F1107" s="90">
        <v>0</v>
      </c>
      <c r="G1107" s="90">
        <v>0</v>
      </c>
      <c r="H1107" s="201"/>
      <c r="I1107" s="379"/>
      <c r="J1107" s="379"/>
      <c r="K1107" s="254"/>
    </row>
    <row r="1108" spans="1:11" ht="15.75" hidden="1">
      <c r="A1108" s="87" t="s">
        <v>59</v>
      </c>
      <c r="B1108" s="85" t="s">
        <v>1795</v>
      </c>
      <c r="C1108" s="85" t="s">
        <v>1603</v>
      </c>
      <c r="D1108" s="85" t="s">
        <v>426</v>
      </c>
      <c r="E1108" s="85" t="s">
        <v>1878</v>
      </c>
      <c r="F1108" s="90"/>
      <c r="G1108" s="90"/>
      <c r="H1108" s="201"/>
      <c r="I1108" s="379"/>
      <c r="J1108" s="379"/>
      <c r="K1108" s="254"/>
    </row>
    <row r="1109" spans="1:11" ht="24">
      <c r="A1109" s="92" t="s">
        <v>1715</v>
      </c>
      <c r="B1109" s="85" t="s">
        <v>1795</v>
      </c>
      <c r="C1109" s="85" t="s">
        <v>1603</v>
      </c>
      <c r="D1109" s="85" t="s">
        <v>1475</v>
      </c>
      <c r="E1109" s="85" t="s">
        <v>869</v>
      </c>
      <c r="F1109" s="90"/>
      <c r="G1109" s="90">
        <v>20110.1</v>
      </c>
      <c r="H1109" s="201">
        <v>19359.4</v>
      </c>
      <c r="I1109" s="379"/>
      <c r="J1109" s="379">
        <f t="shared" si="67"/>
        <v>96.26704989035362</v>
      </c>
      <c r="K1109" s="254"/>
    </row>
    <row r="1110" spans="1:11" ht="60">
      <c r="A1110" s="92" t="s">
        <v>668</v>
      </c>
      <c r="B1110" s="85" t="s">
        <v>1795</v>
      </c>
      <c r="C1110" s="85" t="s">
        <v>1603</v>
      </c>
      <c r="D1110" s="85" t="s">
        <v>669</v>
      </c>
      <c r="E1110" s="85" t="s">
        <v>1071</v>
      </c>
      <c r="F1110" s="243">
        <f>F1111</f>
        <v>0</v>
      </c>
      <c r="G1110" s="243">
        <f>G1111</f>
        <v>210.3</v>
      </c>
      <c r="H1110" s="243">
        <f>H1111</f>
        <v>192.7</v>
      </c>
      <c r="I1110" s="379"/>
      <c r="J1110" s="379">
        <f t="shared" si="67"/>
        <v>91.6310033285782</v>
      </c>
      <c r="K1110" s="254"/>
    </row>
    <row r="1111" spans="1:11" ht="24">
      <c r="A1111" s="92" t="s">
        <v>1715</v>
      </c>
      <c r="B1111" s="85" t="s">
        <v>1795</v>
      </c>
      <c r="C1111" s="85" t="s">
        <v>1603</v>
      </c>
      <c r="D1111" s="85" t="s">
        <v>669</v>
      </c>
      <c r="E1111" s="85" t="s">
        <v>869</v>
      </c>
      <c r="F1111" s="90"/>
      <c r="G1111" s="90">
        <f>360.3-150</f>
        <v>210.3</v>
      </c>
      <c r="H1111" s="201">
        <v>192.7</v>
      </c>
      <c r="I1111" s="379"/>
      <c r="J1111" s="379">
        <f t="shared" si="67"/>
        <v>91.6310033285782</v>
      </c>
      <c r="K1111" s="254"/>
    </row>
    <row r="1112" spans="1:11" ht="48" hidden="1">
      <c r="A1112" s="92" t="s">
        <v>425</v>
      </c>
      <c r="B1112" s="85" t="s">
        <v>1795</v>
      </c>
      <c r="C1112" s="85" t="s">
        <v>1603</v>
      </c>
      <c r="D1112" s="85"/>
      <c r="E1112" s="85"/>
      <c r="F1112" s="90"/>
      <c r="G1112" s="90"/>
      <c r="H1112" s="201"/>
      <c r="I1112" s="379" t="e">
        <f aca="true" t="shared" si="68" ref="I1112:I1126">H1112/F1112*100</f>
        <v>#DIV/0!</v>
      </c>
      <c r="J1112" s="379" t="e">
        <f t="shared" si="67"/>
        <v>#DIV/0!</v>
      </c>
      <c r="K1112" s="254"/>
    </row>
    <row r="1113" spans="1:11" ht="15.75" hidden="1">
      <c r="A1113" s="87" t="s">
        <v>1786</v>
      </c>
      <c r="B1113" s="85" t="s">
        <v>1795</v>
      </c>
      <c r="C1113" s="85" t="s">
        <v>1603</v>
      </c>
      <c r="D1113" s="85"/>
      <c r="E1113" s="85"/>
      <c r="F1113" s="243">
        <f>F1114+F1115</f>
        <v>0</v>
      </c>
      <c r="G1113" s="243">
        <f>G1114+G1115</f>
        <v>0</v>
      </c>
      <c r="H1113" s="201"/>
      <c r="I1113" s="379" t="e">
        <f t="shared" si="68"/>
        <v>#DIV/0!</v>
      </c>
      <c r="J1113" s="379" t="e">
        <f t="shared" si="67"/>
        <v>#DIV/0!</v>
      </c>
      <c r="K1113" s="254"/>
    </row>
    <row r="1114" spans="1:11" ht="15.75" hidden="1">
      <c r="A1114" s="87" t="s">
        <v>427</v>
      </c>
      <c r="B1114" s="85" t="s">
        <v>1795</v>
      </c>
      <c r="C1114" s="85" t="s">
        <v>1603</v>
      </c>
      <c r="D1114" s="85" t="s">
        <v>1408</v>
      </c>
      <c r="E1114" s="85" t="s">
        <v>428</v>
      </c>
      <c r="F1114" s="90"/>
      <c r="G1114" s="90"/>
      <c r="H1114" s="201"/>
      <c r="I1114" s="379" t="e">
        <f t="shared" si="68"/>
        <v>#DIV/0!</v>
      </c>
      <c r="J1114" s="379" t="e">
        <f t="shared" si="67"/>
        <v>#DIV/0!</v>
      </c>
      <c r="K1114" s="254"/>
    </row>
    <row r="1115" spans="1:11" ht="24" hidden="1">
      <c r="A1115" s="87" t="s">
        <v>276</v>
      </c>
      <c r="B1115" s="85" t="s">
        <v>1795</v>
      </c>
      <c r="C1115" s="85" t="s">
        <v>1603</v>
      </c>
      <c r="D1115" s="85" t="s">
        <v>1408</v>
      </c>
      <c r="E1115" s="85" t="s">
        <v>277</v>
      </c>
      <c r="F1115" s="90"/>
      <c r="G1115" s="90"/>
      <c r="H1115" s="201"/>
      <c r="I1115" s="379" t="e">
        <f t="shared" si="68"/>
        <v>#DIV/0!</v>
      </c>
      <c r="J1115" s="379" t="e">
        <f t="shared" si="67"/>
        <v>#DIV/0!</v>
      </c>
      <c r="K1115" s="254"/>
    </row>
    <row r="1116" spans="1:11" ht="15.75">
      <c r="A1116" s="175" t="s">
        <v>278</v>
      </c>
      <c r="B1116" s="103" t="s">
        <v>1083</v>
      </c>
      <c r="C1116" s="103"/>
      <c r="D1116" s="103"/>
      <c r="E1116" s="103"/>
      <c r="F1116" s="242">
        <f>F1117</f>
        <v>106451</v>
      </c>
      <c r="G1116" s="242">
        <f>G1117</f>
        <v>107897</v>
      </c>
      <c r="H1116" s="242">
        <f>H1117</f>
        <v>106192.4</v>
      </c>
      <c r="I1116" s="420">
        <f t="shared" si="68"/>
        <v>99.75707132859249</v>
      </c>
      <c r="J1116" s="420">
        <f t="shared" si="67"/>
        <v>98.42015996737629</v>
      </c>
      <c r="K1116" s="254"/>
    </row>
    <row r="1117" spans="1:11" ht="15">
      <c r="A1117" s="91" t="s">
        <v>160</v>
      </c>
      <c r="B1117" s="85" t="s">
        <v>1083</v>
      </c>
      <c r="C1117" s="85" t="s">
        <v>141</v>
      </c>
      <c r="D1117" s="102"/>
      <c r="E1117" s="102"/>
      <c r="F1117" s="251">
        <f>F1118+F1123+F1137+F1145+F1152</f>
        <v>106451</v>
      </c>
      <c r="G1117" s="251">
        <f>G1118+G1123+G1137+G1145+G1152</f>
        <v>107897</v>
      </c>
      <c r="H1117" s="251">
        <f>H1118+H1123+H1137+H1145+H1152</f>
        <v>106192.4</v>
      </c>
      <c r="I1117" s="379">
        <f t="shared" si="68"/>
        <v>99.75707132859249</v>
      </c>
      <c r="J1117" s="379">
        <f t="shared" si="67"/>
        <v>98.42015996737629</v>
      </c>
      <c r="K1117" s="254"/>
    </row>
    <row r="1118" spans="1:11" ht="24.75" hidden="1">
      <c r="A1118" s="107" t="s">
        <v>1393</v>
      </c>
      <c r="B1118" s="85" t="s">
        <v>1083</v>
      </c>
      <c r="C1118" s="85" t="s">
        <v>141</v>
      </c>
      <c r="D1118" s="85" t="s">
        <v>936</v>
      </c>
      <c r="E1118" s="85"/>
      <c r="F1118" s="243">
        <f>F1119</f>
        <v>0</v>
      </c>
      <c r="G1118" s="243">
        <f>G1119</f>
        <v>0</v>
      </c>
      <c r="H1118" s="243">
        <f>H1119</f>
        <v>0</v>
      </c>
      <c r="I1118" s="379" t="e">
        <f t="shared" si="68"/>
        <v>#DIV/0!</v>
      </c>
      <c r="J1118" s="379" t="e">
        <f t="shared" si="67"/>
        <v>#DIV/0!</v>
      </c>
      <c r="K1118" s="254"/>
    </row>
    <row r="1119" spans="1:11" ht="24.75" hidden="1">
      <c r="A1119" s="108" t="s">
        <v>670</v>
      </c>
      <c r="B1119" s="85" t="s">
        <v>1083</v>
      </c>
      <c r="C1119" s="85" t="s">
        <v>141</v>
      </c>
      <c r="D1119" s="85" t="s">
        <v>1049</v>
      </c>
      <c r="E1119" s="85" t="s">
        <v>1071</v>
      </c>
      <c r="F1119" s="243">
        <f>F1122+F1121</f>
        <v>0</v>
      </c>
      <c r="G1119" s="243">
        <f>G1122+G1121</f>
        <v>0</v>
      </c>
      <c r="H1119" s="243">
        <f>H1122+H1121</f>
        <v>0</v>
      </c>
      <c r="I1119" s="379" t="e">
        <f t="shared" si="68"/>
        <v>#DIV/0!</v>
      </c>
      <c r="J1119" s="379" t="e">
        <f t="shared" si="67"/>
        <v>#DIV/0!</v>
      </c>
      <c r="K1119" s="254"/>
    </row>
    <row r="1120" spans="1:11" ht="15.75" hidden="1">
      <c r="A1120" s="108" t="s">
        <v>671</v>
      </c>
      <c r="B1120" s="85" t="s">
        <v>1083</v>
      </c>
      <c r="C1120" s="85" t="s">
        <v>141</v>
      </c>
      <c r="D1120" s="85" t="s">
        <v>1049</v>
      </c>
      <c r="E1120" s="85" t="s">
        <v>1879</v>
      </c>
      <c r="F1120" s="243"/>
      <c r="G1120" s="243"/>
      <c r="H1120" s="243"/>
      <c r="I1120" s="379" t="e">
        <f t="shared" si="68"/>
        <v>#DIV/0!</v>
      </c>
      <c r="J1120" s="379" t="e">
        <f t="shared" si="67"/>
        <v>#DIV/0!</v>
      </c>
      <c r="K1120" s="254"/>
    </row>
    <row r="1121" spans="1:11" ht="36.75" hidden="1">
      <c r="A1121" s="108" t="s">
        <v>227</v>
      </c>
      <c r="B1121" s="85" t="s">
        <v>1083</v>
      </c>
      <c r="C1121" s="85" t="s">
        <v>141</v>
      </c>
      <c r="D1121" s="85" t="s">
        <v>1049</v>
      </c>
      <c r="E1121" s="85" t="s">
        <v>1879</v>
      </c>
      <c r="F1121" s="90"/>
      <c r="G1121" s="90"/>
      <c r="H1121" s="90"/>
      <c r="I1121" s="379" t="e">
        <f t="shared" si="68"/>
        <v>#DIV/0!</v>
      </c>
      <c r="J1121" s="379" t="e">
        <f t="shared" si="67"/>
        <v>#DIV/0!</v>
      </c>
      <c r="K1121" s="254"/>
    </row>
    <row r="1122" spans="1:11" ht="24" hidden="1">
      <c r="A1122" s="92" t="s">
        <v>956</v>
      </c>
      <c r="B1122" s="85" t="s">
        <v>1083</v>
      </c>
      <c r="C1122" s="85" t="s">
        <v>141</v>
      </c>
      <c r="D1122" s="85" t="s">
        <v>1049</v>
      </c>
      <c r="E1122" s="85" t="s">
        <v>926</v>
      </c>
      <c r="F1122" s="90"/>
      <c r="G1122" s="90"/>
      <c r="H1122" s="90"/>
      <c r="I1122" s="379" t="e">
        <f t="shared" si="68"/>
        <v>#DIV/0!</v>
      </c>
      <c r="J1122" s="379" t="e">
        <f t="shared" si="67"/>
        <v>#DIV/0!</v>
      </c>
      <c r="K1122" s="254"/>
    </row>
    <row r="1123" spans="1:11" ht="15">
      <c r="A1123" s="93" t="s">
        <v>241</v>
      </c>
      <c r="B1123" s="85" t="s">
        <v>1083</v>
      </c>
      <c r="C1123" s="85" t="s">
        <v>141</v>
      </c>
      <c r="D1123" s="85" t="s">
        <v>242</v>
      </c>
      <c r="E1123" s="85"/>
      <c r="F1123" s="243">
        <f>F1124+F1134</f>
        <v>104451</v>
      </c>
      <c r="G1123" s="243">
        <f>G1124+G1134</f>
        <v>100823</v>
      </c>
      <c r="H1123" s="243">
        <f>H1124+H1134</f>
        <v>99550.2</v>
      </c>
      <c r="I1123" s="379">
        <f t="shared" si="68"/>
        <v>95.30803917626447</v>
      </c>
      <c r="J1123" s="379">
        <f t="shared" si="67"/>
        <v>98.73758963728514</v>
      </c>
      <c r="K1123" s="254"/>
    </row>
    <row r="1124" spans="1:11" ht="15">
      <c r="A1124" s="87" t="s">
        <v>661</v>
      </c>
      <c r="B1124" s="85" t="s">
        <v>1083</v>
      </c>
      <c r="C1124" s="85" t="s">
        <v>141</v>
      </c>
      <c r="D1124" s="85" t="s">
        <v>243</v>
      </c>
      <c r="E1124" s="85" t="s">
        <v>1071</v>
      </c>
      <c r="F1124" s="243">
        <f>F1125+F1130</f>
        <v>104451</v>
      </c>
      <c r="G1124" s="243">
        <f>G1125+G1130</f>
        <v>100823</v>
      </c>
      <c r="H1124" s="243">
        <f>H1125+H1130</f>
        <v>99550.2</v>
      </c>
      <c r="I1124" s="379">
        <f t="shared" si="68"/>
        <v>95.30803917626447</v>
      </c>
      <c r="J1124" s="379">
        <f t="shared" si="67"/>
        <v>98.73758963728514</v>
      </c>
      <c r="K1124" s="254"/>
    </row>
    <row r="1125" spans="1:11" ht="15">
      <c r="A1125" s="87" t="s">
        <v>819</v>
      </c>
      <c r="B1125" s="85" t="s">
        <v>1083</v>
      </c>
      <c r="C1125" s="85" t="s">
        <v>141</v>
      </c>
      <c r="D1125" s="85" t="s">
        <v>243</v>
      </c>
      <c r="E1125" s="85" t="s">
        <v>744</v>
      </c>
      <c r="F1125" s="243">
        <f>F1126+F1127</f>
        <v>24445</v>
      </c>
      <c r="G1125" s="243">
        <f>G1126+G1127</f>
        <v>23728</v>
      </c>
      <c r="H1125" s="243">
        <f>H1126+H1127</f>
        <v>23682.7</v>
      </c>
      <c r="I1125" s="379">
        <f t="shared" si="68"/>
        <v>96.88157087338925</v>
      </c>
      <c r="J1125" s="379">
        <f t="shared" si="67"/>
        <v>99.80908631153068</v>
      </c>
      <c r="K1125" s="254"/>
    </row>
    <row r="1126" spans="1:11" ht="24">
      <c r="A1126" s="87" t="s">
        <v>745</v>
      </c>
      <c r="B1126" s="85" t="s">
        <v>1083</v>
      </c>
      <c r="C1126" s="85" t="s">
        <v>141</v>
      </c>
      <c r="D1126" s="85" t="s">
        <v>243</v>
      </c>
      <c r="E1126" s="85" t="s">
        <v>746</v>
      </c>
      <c r="F1126" s="90">
        <v>24445</v>
      </c>
      <c r="G1126" s="90">
        <f>2415+22030-1674-86.9-460.8-61+407</f>
        <v>22569.3</v>
      </c>
      <c r="H1126" s="201">
        <v>22551.8</v>
      </c>
      <c r="I1126" s="379">
        <f t="shared" si="68"/>
        <v>92.25526692575168</v>
      </c>
      <c r="J1126" s="379">
        <f t="shared" si="67"/>
        <v>99.9224610422122</v>
      </c>
      <c r="K1126" s="254"/>
    </row>
    <row r="1127" spans="1:11" ht="15">
      <c r="A1127" s="87" t="s">
        <v>299</v>
      </c>
      <c r="B1127" s="85" t="s">
        <v>1083</v>
      </c>
      <c r="C1127" s="85" t="s">
        <v>141</v>
      </c>
      <c r="D1127" s="85" t="s">
        <v>243</v>
      </c>
      <c r="E1127" s="85" t="s">
        <v>1637</v>
      </c>
      <c r="F1127" s="243">
        <f>F1128+F1129</f>
        <v>0</v>
      </c>
      <c r="G1127" s="243">
        <f>G1128+G1129</f>
        <v>1158.7</v>
      </c>
      <c r="H1127" s="243">
        <f>H1128+H1129</f>
        <v>1130.9</v>
      </c>
      <c r="I1127" s="379"/>
      <c r="J1127" s="379">
        <f t="shared" si="67"/>
        <v>97.60075947182187</v>
      </c>
      <c r="K1127" s="254"/>
    </row>
    <row r="1128" spans="1:11" ht="15">
      <c r="A1128" s="87" t="s">
        <v>672</v>
      </c>
      <c r="B1128" s="85" t="s">
        <v>1083</v>
      </c>
      <c r="C1128" s="85" t="s">
        <v>141</v>
      </c>
      <c r="D1128" s="85" t="s">
        <v>243</v>
      </c>
      <c r="E1128" s="85" t="s">
        <v>1637</v>
      </c>
      <c r="F1128" s="90"/>
      <c r="G1128" s="90">
        <v>550</v>
      </c>
      <c r="H1128" s="201">
        <v>522.2</v>
      </c>
      <c r="I1128" s="379"/>
      <c r="J1128" s="379">
        <f t="shared" si="67"/>
        <v>94.94545454545455</v>
      </c>
      <c r="K1128" s="254"/>
    </row>
    <row r="1129" spans="1:11" ht="15">
      <c r="A1129" s="358" t="s">
        <v>1595</v>
      </c>
      <c r="B1129" s="85" t="s">
        <v>1083</v>
      </c>
      <c r="C1129" s="85" t="s">
        <v>141</v>
      </c>
      <c r="D1129" s="85" t="s">
        <v>243</v>
      </c>
      <c r="E1129" s="85" t="s">
        <v>1637</v>
      </c>
      <c r="F1129" s="90"/>
      <c r="G1129" s="90">
        <f>86.9+460.8+61</f>
        <v>608.7</v>
      </c>
      <c r="H1129" s="201">
        <v>608.7</v>
      </c>
      <c r="I1129" s="379"/>
      <c r="J1129" s="379">
        <f t="shared" si="67"/>
        <v>100</v>
      </c>
      <c r="K1129" s="254"/>
    </row>
    <row r="1130" spans="1:11" ht="15">
      <c r="A1130" s="87" t="s">
        <v>302</v>
      </c>
      <c r="B1130" s="85" t="s">
        <v>1083</v>
      </c>
      <c r="C1130" s="85" t="s">
        <v>141</v>
      </c>
      <c r="D1130" s="85" t="s">
        <v>243</v>
      </c>
      <c r="E1130" s="85" t="s">
        <v>296</v>
      </c>
      <c r="F1130" s="243">
        <f>F1131+F1132</f>
        <v>80006</v>
      </c>
      <c r="G1130" s="243">
        <f>G1131+G1132</f>
        <v>77095</v>
      </c>
      <c r="H1130" s="243">
        <f>H1131+H1132</f>
        <v>75867.5</v>
      </c>
      <c r="I1130" s="379">
        <f>H1130/F1130*100</f>
        <v>94.82726295527836</v>
      </c>
      <c r="J1130" s="379">
        <f t="shared" si="67"/>
        <v>98.40780854789546</v>
      </c>
      <c r="K1130" s="254"/>
    </row>
    <row r="1131" spans="1:11" ht="24">
      <c r="A1131" s="87" t="s">
        <v>303</v>
      </c>
      <c r="B1131" s="85" t="s">
        <v>1083</v>
      </c>
      <c r="C1131" s="85" t="s">
        <v>141</v>
      </c>
      <c r="D1131" s="85" t="s">
        <v>243</v>
      </c>
      <c r="E1131" s="85" t="s">
        <v>304</v>
      </c>
      <c r="F1131" s="90">
        <v>78606</v>
      </c>
      <c r="G1131" s="90">
        <f>54522-1000+25484-400-1511-2000-1214.8-1200</f>
        <v>72680.2</v>
      </c>
      <c r="H1131" s="201">
        <v>71528.9</v>
      </c>
      <c r="I1131" s="379">
        <f>H1131/F1131*100</f>
        <v>90.9967432511513</v>
      </c>
      <c r="J1131" s="379">
        <f t="shared" si="67"/>
        <v>98.41593721536263</v>
      </c>
      <c r="K1131" s="254"/>
    </row>
    <row r="1132" spans="1:11" ht="15">
      <c r="A1132" s="87" t="s">
        <v>673</v>
      </c>
      <c r="B1132" s="85" t="s">
        <v>1083</v>
      </c>
      <c r="C1132" s="85" t="s">
        <v>141</v>
      </c>
      <c r="D1132" s="85" t="s">
        <v>243</v>
      </c>
      <c r="E1132" s="85" t="s">
        <v>801</v>
      </c>
      <c r="F1132" s="243">
        <f>F1133+F1134+F1135+F1136</f>
        <v>1400</v>
      </c>
      <c r="G1132" s="243">
        <f>G1133+G1134+G1135+G1136</f>
        <v>4414.8</v>
      </c>
      <c r="H1132" s="243">
        <f>H1133+H1134+H1135+H1136</f>
        <v>4338.6</v>
      </c>
      <c r="I1132" s="421" t="s">
        <v>1212</v>
      </c>
      <c r="J1132" s="379">
        <f t="shared" si="67"/>
        <v>98.27398749660235</v>
      </c>
      <c r="K1132" s="254"/>
    </row>
    <row r="1133" spans="1:11" ht="15">
      <c r="A1133" s="87" t="s">
        <v>674</v>
      </c>
      <c r="B1133" s="85" t="s">
        <v>1083</v>
      </c>
      <c r="C1133" s="85" t="s">
        <v>141</v>
      </c>
      <c r="D1133" s="85" t="s">
        <v>675</v>
      </c>
      <c r="E1133" s="85" t="s">
        <v>801</v>
      </c>
      <c r="F1133" s="90"/>
      <c r="G1133" s="90">
        <f>1099.4+900.6-900.6</f>
        <v>1099.4</v>
      </c>
      <c r="H1133" s="201">
        <v>1099.4</v>
      </c>
      <c r="I1133" s="379"/>
      <c r="J1133" s="379">
        <f t="shared" si="67"/>
        <v>100</v>
      </c>
      <c r="K1133" s="254"/>
    </row>
    <row r="1134" spans="1:11" ht="15.75" hidden="1">
      <c r="A1134" s="87"/>
      <c r="B1134" s="85" t="s">
        <v>1083</v>
      </c>
      <c r="C1134" s="85" t="s">
        <v>141</v>
      </c>
      <c r="D1134" s="85" t="s">
        <v>675</v>
      </c>
      <c r="E1134" s="85" t="s">
        <v>801</v>
      </c>
      <c r="F1134" s="243"/>
      <c r="G1134" s="243"/>
      <c r="H1134" s="201"/>
      <c r="I1134" s="379"/>
      <c r="J1134" s="379"/>
      <c r="K1134" s="254"/>
    </row>
    <row r="1135" spans="1:11" ht="15">
      <c r="A1135" s="87" t="s">
        <v>676</v>
      </c>
      <c r="B1135" s="85" t="s">
        <v>1083</v>
      </c>
      <c r="C1135" s="85" t="s">
        <v>141</v>
      </c>
      <c r="D1135" s="85" t="s">
        <v>675</v>
      </c>
      <c r="E1135" s="85" t="s">
        <v>801</v>
      </c>
      <c r="F1135" s="90">
        <v>1400</v>
      </c>
      <c r="G1135" s="90">
        <f>400+1263.6+199+592.9-0.1+800</f>
        <v>3255.4</v>
      </c>
      <c r="H1135" s="201">
        <v>3179.3</v>
      </c>
      <c r="I1135" s="421" t="s">
        <v>1212</v>
      </c>
      <c r="J1135" s="379">
        <f t="shared" si="67"/>
        <v>97.66234564108865</v>
      </c>
      <c r="K1135" s="254"/>
    </row>
    <row r="1136" spans="1:11" ht="24">
      <c r="A1136" s="87" t="s">
        <v>677</v>
      </c>
      <c r="B1136" s="85" t="s">
        <v>1083</v>
      </c>
      <c r="C1136" s="85" t="s">
        <v>141</v>
      </c>
      <c r="D1136" s="85" t="s">
        <v>675</v>
      </c>
      <c r="E1136" s="85" t="s">
        <v>801</v>
      </c>
      <c r="F1136" s="90"/>
      <c r="G1136" s="90">
        <v>60</v>
      </c>
      <c r="H1136" s="201">
        <v>59.9</v>
      </c>
      <c r="I1136" s="379"/>
      <c r="J1136" s="379">
        <f t="shared" si="67"/>
        <v>99.83333333333333</v>
      </c>
      <c r="K1136" s="254"/>
    </row>
    <row r="1137" spans="1:11" ht="15">
      <c r="A1137" s="93" t="s">
        <v>678</v>
      </c>
      <c r="B1137" s="85" t="s">
        <v>1083</v>
      </c>
      <c r="C1137" s="85" t="s">
        <v>141</v>
      </c>
      <c r="D1137" s="85" t="s">
        <v>244</v>
      </c>
      <c r="E1137" s="85"/>
      <c r="F1137" s="243">
        <f>F1138</f>
        <v>2000</v>
      </c>
      <c r="G1137" s="243">
        <f>G1138</f>
        <v>0</v>
      </c>
      <c r="H1137" s="201"/>
      <c r="I1137" s="379">
        <f>H1137/F1137*100</f>
        <v>0</v>
      </c>
      <c r="J1137" s="379"/>
      <c r="K1137" s="254"/>
    </row>
    <row r="1138" spans="1:11" ht="15">
      <c r="A1138" s="87" t="s">
        <v>819</v>
      </c>
      <c r="B1138" s="85" t="s">
        <v>1083</v>
      </c>
      <c r="C1138" s="85" t="s">
        <v>141</v>
      </c>
      <c r="D1138" s="85" t="s">
        <v>244</v>
      </c>
      <c r="E1138" s="85" t="s">
        <v>744</v>
      </c>
      <c r="F1138" s="243">
        <f>F1139+F1140</f>
        <v>2000</v>
      </c>
      <c r="G1138" s="243">
        <f>G1139+G1140</f>
        <v>0</v>
      </c>
      <c r="H1138" s="201"/>
      <c r="I1138" s="379">
        <f>H1138/F1138*100</f>
        <v>0</v>
      </c>
      <c r="J1138" s="379"/>
      <c r="K1138" s="254"/>
    </row>
    <row r="1139" spans="1:11" ht="24">
      <c r="A1139" s="87" t="s">
        <v>745</v>
      </c>
      <c r="B1139" s="85" t="s">
        <v>1083</v>
      </c>
      <c r="C1139" s="85" t="s">
        <v>141</v>
      </c>
      <c r="D1139" s="85" t="s">
        <v>244</v>
      </c>
      <c r="E1139" s="85" t="s">
        <v>746</v>
      </c>
      <c r="F1139" s="90"/>
      <c r="G1139" s="90"/>
      <c r="H1139" s="201"/>
      <c r="I1139" s="379"/>
      <c r="J1139" s="379"/>
      <c r="K1139" s="254"/>
    </row>
    <row r="1140" spans="1:11" ht="15">
      <c r="A1140" s="87" t="s">
        <v>1701</v>
      </c>
      <c r="B1140" s="85" t="s">
        <v>1083</v>
      </c>
      <c r="C1140" s="85" t="s">
        <v>141</v>
      </c>
      <c r="D1140" s="85" t="s">
        <v>244</v>
      </c>
      <c r="E1140" s="85" t="s">
        <v>1637</v>
      </c>
      <c r="F1140" s="243">
        <f>F1141</f>
        <v>2000</v>
      </c>
      <c r="G1140" s="243">
        <f>G1141</f>
        <v>0</v>
      </c>
      <c r="H1140" s="201"/>
      <c r="I1140" s="379">
        <f>H1140/F1140*100</f>
        <v>0</v>
      </c>
      <c r="J1140" s="379"/>
      <c r="K1140" s="254"/>
    </row>
    <row r="1141" spans="1:11" ht="24">
      <c r="A1141" s="87" t="s">
        <v>679</v>
      </c>
      <c r="B1141" s="85" t="s">
        <v>1083</v>
      </c>
      <c r="C1141" s="85" t="s">
        <v>141</v>
      </c>
      <c r="D1141" s="85" t="s">
        <v>680</v>
      </c>
      <c r="E1141" s="85" t="s">
        <v>1637</v>
      </c>
      <c r="F1141" s="90">
        <v>2000</v>
      </c>
      <c r="G1141" s="90">
        <f>2000-2000</f>
        <v>0</v>
      </c>
      <c r="H1141" s="201"/>
      <c r="I1141" s="379">
        <f>H1141/F1141*100</f>
        <v>0</v>
      </c>
      <c r="J1141" s="379"/>
      <c r="K1141" s="254"/>
    </row>
    <row r="1142" spans="1:11" ht="15.75" hidden="1">
      <c r="A1142" s="87"/>
      <c r="B1142" s="85"/>
      <c r="C1142" s="85"/>
      <c r="D1142" s="85"/>
      <c r="E1142" s="85"/>
      <c r="F1142" s="90"/>
      <c r="G1142" s="90"/>
      <c r="H1142" s="201"/>
      <c r="I1142" s="379" t="e">
        <f>H1142/F1142*100</f>
        <v>#DIV/0!</v>
      </c>
      <c r="J1142" s="379" t="e">
        <f t="shared" si="67"/>
        <v>#DIV/0!</v>
      </c>
      <c r="K1142" s="254"/>
    </row>
    <row r="1143" spans="1:11" ht="15.75" hidden="1">
      <c r="A1143" s="87"/>
      <c r="B1143" s="85" t="s">
        <v>1083</v>
      </c>
      <c r="C1143" s="85" t="s">
        <v>141</v>
      </c>
      <c r="D1143" s="85" t="s">
        <v>675</v>
      </c>
      <c r="E1143" s="85" t="s">
        <v>801</v>
      </c>
      <c r="F1143" s="90">
        <f>900.6-900.6</f>
        <v>0</v>
      </c>
      <c r="G1143" s="90">
        <f>900.6-900.6</f>
        <v>0</v>
      </c>
      <c r="H1143" s="201"/>
      <c r="I1143" s="379" t="e">
        <f>H1143/F1143*100</f>
        <v>#DIV/0!</v>
      </c>
      <c r="J1143" s="379" t="e">
        <f t="shared" si="67"/>
        <v>#DIV/0!</v>
      </c>
      <c r="K1143" s="254"/>
    </row>
    <row r="1144" spans="1:11" ht="15.75" hidden="1">
      <c r="A1144" s="87"/>
      <c r="B1144" s="85"/>
      <c r="C1144" s="85"/>
      <c r="D1144" s="85"/>
      <c r="E1144" s="85"/>
      <c r="F1144" s="90"/>
      <c r="G1144" s="90"/>
      <c r="H1144" s="201"/>
      <c r="I1144" s="379" t="e">
        <f>H1144/F1144*100</f>
        <v>#DIV/0!</v>
      </c>
      <c r="J1144" s="379" t="e">
        <f t="shared" si="67"/>
        <v>#DIV/0!</v>
      </c>
      <c r="K1144" s="254"/>
    </row>
    <row r="1145" spans="1:11" ht="24">
      <c r="A1145" s="360" t="s">
        <v>1664</v>
      </c>
      <c r="B1145" s="85" t="s">
        <v>1083</v>
      </c>
      <c r="C1145" s="85" t="s">
        <v>141</v>
      </c>
      <c r="D1145" s="85" t="s">
        <v>1665</v>
      </c>
      <c r="E1145" s="85" t="s">
        <v>1071</v>
      </c>
      <c r="F1145" s="243">
        <f>F1146+F1148</f>
        <v>0</v>
      </c>
      <c r="G1145" s="243">
        <f>G1146+G1148</f>
        <v>2000</v>
      </c>
      <c r="H1145" s="243">
        <f>H1146+H1148</f>
        <v>1646.8000000000002</v>
      </c>
      <c r="I1145" s="379"/>
      <c r="J1145" s="379">
        <f t="shared" si="67"/>
        <v>82.34000000000002</v>
      </c>
      <c r="K1145" s="254"/>
    </row>
    <row r="1146" spans="1:11" ht="15">
      <c r="A1146" s="358" t="s">
        <v>681</v>
      </c>
      <c r="B1146" s="85" t="s">
        <v>1083</v>
      </c>
      <c r="C1146" s="85" t="s">
        <v>141</v>
      </c>
      <c r="D1146" s="85" t="s">
        <v>1665</v>
      </c>
      <c r="E1146" s="85" t="s">
        <v>1637</v>
      </c>
      <c r="F1146" s="243">
        <f>F1147</f>
        <v>0</v>
      </c>
      <c r="G1146" s="243">
        <f>G1147</f>
        <v>400</v>
      </c>
      <c r="H1146" s="243">
        <f>H1147</f>
        <v>399.9</v>
      </c>
      <c r="I1146" s="379"/>
      <c r="J1146" s="379">
        <f t="shared" si="67"/>
        <v>99.975</v>
      </c>
      <c r="K1146" s="254"/>
    </row>
    <row r="1147" spans="1:11" ht="15">
      <c r="A1147" s="87" t="s">
        <v>682</v>
      </c>
      <c r="B1147" s="85" t="s">
        <v>1083</v>
      </c>
      <c r="C1147" s="85" t="s">
        <v>141</v>
      </c>
      <c r="D1147" s="85" t="s">
        <v>1665</v>
      </c>
      <c r="E1147" s="85" t="s">
        <v>1637</v>
      </c>
      <c r="F1147" s="90"/>
      <c r="G1147" s="90">
        <v>400</v>
      </c>
      <c r="H1147" s="201">
        <v>399.9</v>
      </c>
      <c r="I1147" s="379"/>
      <c r="J1147" s="379">
        <f t="shared" si="67"/>
        <v>99.975</v>
      </c>
      <c r="K1147" s="254"/>
    </row>
    <row r="1148" spans="1:11" ht="15">
      <c r="A1148" s="87" t="s">
        <v>673</v>
      </c>
      <c r="B1148" s="85" t="s">
        <v>1083</v>
      </c>
      <c r="C1148" s="85" t="s">
        <v>141</v>
      </c>
      <c r="D1148" s="85" t="s">
        <v>1665</v>
      </c>
      <c r="E1148" s="85" t="s">
        <v>801</v>
      </c>
      <c r="F1148" s="243">
        <f>F1149+F1150+F1151</f>
        <v>0</v>
      </c>
      <c r="G1148" s="243">
        <f>G1149+G1150+G1151</f>
        <v>1600</v>
      </c>
      <c r="H1148" s="243">
        <f>H1149+H1150+H1151</f>
        <v>1246.9</v>
      </c>
      <c r="I1148" s="379"/>
      <c r="J1148" s="379">
        <f t="shared" si="67"/>
        <v>77.93125</v>
      </c>
      <c r="K1148" s="254"/>
    </row>
    <row r="1149" spans="1:11" ht="24">
      <c r="A1149" s="87" t="s">
        <v>683</v>
      </c>
      <c r="B1149" s="85" t="s">
        <v>1083</v>
      </c>
      <c r="C1149" s="85" t="s">
        <v>141</v>
      </c>
      <c r="D1149" s="85" t="s">
        <v>1665</v>
      </c>
      <c r="E1149" s="85" t="s">
        <v>801</v>
      </c>
      <c r="F1149" s="90"/>
      <c r="G1149" s="90">
        <v>300</v>
      </c>
      <c r="H1149" s="201"/>
      <c r="I1149" s="379"/>
      <c r="J1149" s="379">
        <f t="shared" si="67"/>
        <v>0</v>
      </c>
      <c r="K1149" s="254"/>
    </row>
    <row r="1150" spans="1:11" ht="24">
      <c r="A1150" s="87" t="s">
        <v>684</v>
      </c>
      <c r="B1150" s="365" t="s">
        <v>1083</v>
      </c>
      <c r="C1150" s="365" t="s">
        <v>141</v>
      </c>
      <c r="D1150" s="365" t="s">
        <v>1665</v>
      </c>
      <c r="E1150" s="365" t="s">
        <v>801</v>
      </c>
      <c r="F1150" s="90"/>
      <c r="G1150" s="90">
        <v>1000</v>
      </c>
      <c r="H1150" s="201">
        <v>1000</v>
      </c>
      <c r="I1150" s="379"/>
      <c r="J1150" s="379">
        <f t="shared" si="67"/>
        <v>100</v>
      </c>
      <c r="K1150" s="254"/>
    </row>
    <row r="1151" spans="1:11" ht="24">
      <c r="A1151" s="87" t="s">
        <v>685</v>
      </c>
      <c r="B1151" s="365" t="s">
        <v>1083</v>
      </c>
      <c r="C1151" s="365" t="s">
        <v>141</v>
      </c>
      <c r="D1151" s="365" t="s">
        <v>1665</v>
      </c>
      <c r="E1151" s="365" t="s">
        <v>801</v>
      </c>
      <c r="F1151" s="90"/>
      <c r="G1151" s="90">
        <v>300</v>
      </c>
      <c r="H1151" s="201">
        <v>246.9</v>
      </c>
      <c r="I1151" s="379"/>
      <c r="J1151" s="379">
        <f t="shared" si="67"/>
        <v>82.30000000000001</v>
      </c>
      <c r="K1151" s="254"/>
    </row>
    <row r="1152" spans="1:11" ht="15">
      <c r="A1152" s="86" t="s">
        <v>909</v>
      </c>
      <c r="B1152" s="85" t="s">
        <v>1083</v>
      </c>
      <c r="C1152" s="85" t="s">
        <v>141</v>
      </c>
      <c r="D1152" s="85" t="s">
        <v>910</v>
      </c>
      <c r="E1152" s="85"/>
      <c r="F1152" s="243">
        <f>F1153</f>
        <v>0</v>
      </c>
      <c r="G1152" s="243">
        <f>G1153</f>
        <v>5074</v>
      </c>
      <c r="H1152" s="243">
        <f>H1153</f>
        <v>4995.4</v>
      </c>
      <c r="I1152" s="379"/>
      <c r="J1152" s="379">
        <f t="shared" si="67"/>
        <v>98.45092629089474</v>
      </c>
      <c r="K1152" s="254"/>
    </row>
    <row r="1153" spans="1:11" ht="24">
      <c r="A1153" s="87" t="s">
        <v>686</v>
      </c>
      <c r="B1153" s="85" t="s">
        <v>1083</v>
      </c>
      <c r="C1153" s="85" t="s">
        <v>141</v>
      </c>
      <c r="D1153" s="85" t="s">
        <v>1371</v>
      </c>
      <c r="E1153" s="85" t="s">
        <v>1071</v>
      </c>
      <c r="F1153" s="243">
        <f>F1154+F1160</f>
        <v>0</v>
      </c>
      <c r="G1153" s="243">
        <f>G1154+G1160</f>
        <v>5074</v>
      </c>
      <c r="H1153" s="243">
        <f>H1154+H1160</f>
        <v>4995.4</v>
      </c>
      <c r="I1153" s="379"/>
      <c r="J1153" s="379">
        <f t="shared" si="67"/>
        <v>98.45092629089474</v>
      </c>
      <c r="K1153" s="254"/>
    </row>
    <row r="1154" spans="1:11" ht="15">
      <c r="A1154" s="87" t="s">
        <v>819</v>
      </c>
      <c r="B1154" s="85" t="s">
        <v>1083</v>
      </c>
      <c r="C1154" s="85" t="s">
        <v>141</v>
      </c>
      <c r="D1154" s="85" t="s">
        <v>1371</v>
      </c>
      <c r="E1154" s="85" t="s">
        <v>744</v>
      </c>
      <c r="F1154" s="243">
        <f>F1155+F1156</f>
        <v>0</v>
      </c>
      <c r="G1154" s="243">
        <f>G1155+G1156</f>
        <v>3674</v>
      </c>
      <c r="H1154" s="243">
        <f>H1155+H1156</f>
        <v>3607.7</v>
      </c>
      <c r="I1154" s="379"/>
      <c r="J1154" s="379">
        <f t="shared" si="67"/>
        <v>98.19542732716386</v>
      </c>
      <c r="K1154" s="254"/>
    </row>
    <row r="1155" spans="1:11" ht="24">
      <c r="A1155" s="87" t="s">
        <v>745</v>
      </c>
      <c r="B1155" s="85" t="s">
        <v>1083</v>
      </c>
      <c r="C1155" s="85" t="s">
        <v>141</v>
      </c>
      <c r="D1155" s="85" t="s">
        <v>1371</v>
      </c>
      <c r="E1155" s="85" t="s">
        <v>746</v>
      </c>
      <c r="F1155" s="90"/>
      <c r="G1155" s="90">
        <f>1674-871.1-83.8</f>
        <v>719.1</v>
      </c>
      <c r="H1155" s="201">
        <v>703.7</v>
      </c>
      <c r="I1155" s="379"/>
      <c r="J1155" s="379">
        <f t="shared" si="67"/>
        <v>97.85843415380336</v>
      </c>
      <c r="K1155" s="254"/>
    </row>
    <row r="1156" spans="1:11" ht="15">
      <c r="A1156" s="87" t="s">
        <v>299</v>
      </c>
      <c r="B1156" s="85" t="s">
        <v>1083</v>
      </c>
      <c r="C1156" s="85" t="s">
        <v>141</v>
      </c>
      <c r="D1156" s="85" t="s">
        <v>1371</v>
      </c>
      <c r="E1156" s="85" t="s">
        <v>1637</v>
      </c>
      <c r="F1156" s="243">
        <f>F1157+F1158+F1159</f>
        <v>0</v>
      </c>
      <c r="G1156" s="243">
        <f>G1157+G1158+G1159</f>
        <v>2954.9</v>
      </c>
      <c r="H1156" s="243">
        <f>H1157+H1158+H1159</f>
        <v>2904</v>
      </c>
      <c r="I1156" s="379"/>
      <c r="J1156" s="379">
        <f t="shared" si="67"/>
        <v>98.27743747673355</v>
      </c>
      <c r="K1156" s="254"/>
    </row>
    <row r="1157" spans="1:11" ht="24">
      <c r="A1157" s="87" t="s">
        <v>687</v>
      </c>
      <c r="B1157" s="85" t="s">
        <v>1083</v>
      </c>
      <c r="C1157" s="85" t="s">
        <v>141</v>
      </c>
      <c r="D1157" s="85" t="s">
        <v>1371</v>
      </c>
      <c r="E1157" s="85" t="s">
        <v>1637</v>
      </c>
      <c r="F1157" s="90"/>
      <c r="G1157" s="90">
        <v>2000</v>
      </c>
      <c r="H1157" s="201">
        <v>1949.1</v>
      </c>
      <c r="I1157" s="379"/>
      <c r="J1157" s="379">
        <f t="shared" si="67"/>
        <v>97.455</v>
      </c>
      <c r="K1157" s="254"/>
    </row>
    <row r="1158" spans="1:11" ht="36">
      <c r="A1158" s="87" t="s">
        <v>688</v>
      </c>
      <c r="B1158" s="85" t="s">
        <v>1083</v>
      </c>
      <c r="C1158" s="85" t="s">
        <v>141</v>
      </c>
      <c r="D1158" s="85" t="s">
        <v>1371</v>
      </c>
      <c r="E1158" s="85" t="s">
        <v>1637</v>
      </c>
      <c r="F1158" s="90"/>
      <c r="G1158" s="90">
        <v>871.1</v>
      </c>
      <c r="H1158" s="201">
        <v>871.1</v>
      </c>
      <c r="I1158" s="379"/>
      <c r="J1158" s="379">
        <f t="shared" si="67"/>
        <v>100</v>
      </c>
      <c r="K1158" s="254"/>
    </row>
    <row r="1159" spans="1:11" ht="15">
      <c r="A1159" s="87" t="s">
        <v>689</v>
      </c>
      <c r="B1159" s="85" t="s">
        <v>1083</v>
      </c>
      <c r="C1159" s="85" t="s">
        <v>141</v>
      </c>
      <c r="D1159" s="85" t="s">
        <v>1371</v>
      </c>
      <c r="E1159" s="85" t="s">
        <v>1637</v>
      </c>
      <c r="F1159" s="90"/>
      <c r="G1159" s="90">
        <v>83.8</v>
      </c>
      <c r="H1159" s="201">
        <v>83.8</v>
      </c>
      <c r="I1159" s="379"/>
      <c r="J1159" s="379">
        <f t="shared" si="67"/>
        <v>100</v>
      </c>
      <c r="K1159" s="254"/>
    </row>
    <row r="1160" spans="1:11" ht="15">
      <c r="A1160" s="87" t="s">
        <v>302</v>
      </c>
      <c r="B1160" s="85" t="s">
        <v>1083</v>
      </c>
      <c r="C1160" s="85" t="s">
        <v>141</v>
      </c>
      <c r="D1160" s="85" t="s">
        <v>1371</v>
      </c>
      <c r="E1160" s="85" t="s">
        <v>296</v>
      </c>
      <c r="F1160" s="243">
        <f>F1161+F1162</f>
        <v>0</v>
      </c>
      <c r="G1160" s="243">
        <f>G1161+G1162</f>
        <v>1400</v>
      </c>
      <c r="H1160" s="243">
        <f>H1161+H1162</f>
        <v>1387.7</v>
      </c>
      <c r="I1160" s="379"/>
      <c r="J1160" s="379">
        <f t="shared" si="67"/>
        <v>99.12142857142857</v>
      </c>
      <c r="K1160" s="254"/>
    </row>
    <row r="1161" spans="1:11" ht="15.75" hidden="1">
      <c r="A1161" s="87" t="s">
        <v>303</v>
      </c>
      <c r="B1161" s="85" t="s">
        <v>1083</v>
      </c>
      <c r="C1161" s="85" t="s">
        <v>141</v>
      </c>
      <c r="D1161" s="85" t="s">
        <v>1371</v>
      </c>
      <c r="E1161" s="85" t="s">
        <v>304</v>
      </c>
      <c r="F1161" s="90"/>
      <c r="G1161" s="90"/>
      <c r="H1161" s="90"/>
      <c r="I1161" s="379"/>
      <c r="J1161" s="379"/>
      <c r="K1161" s="254"/>
    </row>
    <row r="1162" spans="1:11" ht="15">
      <c r="A1162" s="87" t="s">
        <v>673</v>
      </c>
      <c r="B1162" s="85" t="s">
        <v>1083</v>
      </c>
      <c r="C1162" s="85" t="s">
        <v>141</v>
      </c>
      <c r="D1162" s="85" t="s">
        <v>1371</v>
      </c>
      <c r="E1162" s="85" t="s">
        <v>801</v>
      </c>
      <c r="F1162" s="243">
        <f>F1163</f>
        <v>0</v>
      </c>
      <c r="G1162" s="243">
        <f>G1163</f>
        <v>1400</v>
      </c>
      <c r="H1162" s="243">
        <f>H1163</f>
        <v>1387.7</v>
      </c>
      <c r="I1162" s="379"/>
      <c r="J1162" s="379">
        <f t="shared" si="67"/>
        <v>99.12142857142857</v>
      </c>
      <c r="K1162" s="254"/>
    </row>
    <row r="1163" spans="1:11" ht="24">
      <c r="A1163" s="87" t="s">
        <v>551</v>
      </c>
      <c r="B1163" s="85" t="s">
        <v>1083</v>
      </c>
      <c r="C1163" s="85" t="s">
        <v>141</v>
      </c>
      <c r="D1163" s="85" t="s">
        <v>1371</v>
      </c>
      <c r="E1163" s="85" t="s">
        <v>801</v>
      </c>
      <c r="F1163" s="90"/>
      <c r="G1163" s="90">
        <v>1400</v>
      </c>
      <c r="H1163" s="201">
        <v>1387.7</v>
      </c>
      <c r="I1163" s="379"/>
      <c r="J1163" s="379">
        <f t="shared" si="67"/>
        <v>99.12142857142857</v>
      </c>
      <c r="K1163" s="254"/>
    </row>
    <row r="1164" spans="1:11" ht="15.75">
      <c r="A1164" s="106" t="s">
        <v>161</v>
      </c>
      <c r="B1164" s="85" t="s">
        <v>1250</v>
      </c>
      <c r="C1164" s="85"/>
      <c r="D1164" s="85"/>
      <c r="E1164" s="85"/>
      <c r="F1164" s="244">
        <f>F1165+F1170</f>
        <v>16904</v>
      </c>
      <c r="G1164" s="244">
        <f>G1165+G1170</f>
        <v>17904</v>
      </c>
      <c r="H1164" s="244">
        <f>H1165+H1170</f>
        <v>17904</v>
      </c>
      <c r="I1164" s="420">
        <f>H1164/F1164*100</f>
        <v>105.91575958353052</v>
      </c>
      <c r="J1164" s="420">
        <f t="shared" si="67"/>
        <v>100</v>
      </c>
      <c r="K1164" s="254"/>
    </row>
    <row r="1165" spans="1:11" ht="15">
      <c r="A1165" s="253" t="s">
        <v>471</v>
      </c>
      <c r="B1165" s="85" t="s">
        <v>1250</v>
      </c>
      <c r="C1165" s="85" t="s">
        <v>141</v>
      </c>
      <c r="D1165" s="116"/>
      <c r="E1165" s="116"/>
      <c r="F1165" s="243">
        <f aca="true" t="shared" si="69" ref="F1165:H1166">F1166</f>
        <v>10388</v>
      </c>
      <c r="G1165" s="243">
        <f t="shared" si="69"/>
        <v>10388</v>
      </c>
      <c r="H1165" s="243">
        <f t="shared" si="69"/>
        <v>10388</v>
      </c>
      <c r="I1165" s="379">
        <f>H1165/F1165*100</f>
        <v>100</v>
      </c>
      <c r="J1165" s="379">
        <f t="shared" si="67"/>
        <v>100</v>
      </c>
      <c r="K1165" s="254"/>
    </row>
    <row r="1166" spans="1:11" ht="15">
      <c r="A1166" s="93" t="s">
        <v>162</v>
      </c>
      <c r="B1166" s="85" t="s">
        <v>1250</v>
      </c>
      <c r="C1166" s="85" t="s">
        <v>141</v>
      </c>
      <c r="D1166" s="85" t="s">
        <v>163</v>
      </c>
      <c r="E1166" s="85"/>
      <c r="F1166" s="243">
        <f t="shared" si="69"/>
        <v>10388</v>
      </c>
      <c r="G1166" s="243">
        <f>G1167</f>
        <v>10388</v>
      </c>
      <c r="H1166" s="243">
        <f>H1167</f>
        <v>10388</v>
      </c>
      <c r="I1166" s="379">
        <f aca="true" t="shared" si="70" ref="I1166:I1183">H1166/F1166*100</f>
        <v>100</v>
      </c>
      <c r="J1166" s="379">
        <f aca="true" t="shared" si="71" ref="J1166:J1184">H1166/G1166*100</f>
        <v>100</v>
      </c>
      <c r="K1166" s="254"/>
    </row>
    <row r="1167" spans="1:11" ht="15">
      <c r="A1167" s="87" t="s">
        <v>164</v>
      </c>
      <c r="B1167" s="85" t="s">
        <v>1250</v>
      </c>
      <c r="C1167" s="85" t="s">
        <v>141</v>
      </c>
      <c r="D1167" s="85" t="s">
        <v>165</v>
      </c>
      <c r="E1167" s="85" t="s">
        <v>1071</v>
      </c>
      <c r="F1167" s="243">
        <f>F1168+F1169</f>
        <v>10388</v>
      </c>
      <c r="G1167" s="243">
        <f>G1168+G1169</f>
        <v>10388</v>
      </c>
      <c r="H1167" s="243">
        <f>H1168+H1169</f>
        <v>10388</v>
      </c>
      <c r="I1167" s="379">
        <f t="shared" si="70"/>
        <v>100</v>
      </c>
      <c r="J1167" s="379">
        <f t="shared" si="71"/>
        <v>100</v>
      </c>
      <c r="K1167" s="254"/>
    </row>
    <row r="1168" spans="1:11" ht="15">
      <c r="A1168" s="87" t="s">
        <v>924</v>
      </c>
      <c r="B1168" s="85" t="s">
        <v>1250</v>
      </c>
      <c r="C1168" s="85" t="s">
        <v>141</v>
      </c>
      <c r="D1168" s="85" t="s">
        <v>165</v>
      </c>
      <c r="E1168" s="85" t="s">
        <v>1881</v>
      </c>
      <c r="F1168" s="90">
        <v>10388</v>
      </c>
      <c r="G1168" s="243"/>
      <c r="H1168" s="201"/>
      <c r="I1168" s="379">
        <f t="shared" si="70"/>
        <v>0</v>
      </c>
      <c r="J1168" s="379"/>
      <c r="K1168" s="254"/>
    </row>
    <row r="1169" spans="1:11" ht="24">
      <c r="A1169" s="92" t="s">
        <v>185</v>
      </c>
      <c r="B1169" s="85" t="s">
        <v>1250</v>
      </c>
      <c r="C1169" s="85" t="s">
        <v>141</v>
      </c>
      <c r="D1169" s="85" t="s">
        <v>165</v>
      </c>
      <c r="E1169" s="85" t="s">
        <v>186</v>
      </c>
      <c r="F1169" s="90"/>
      <c r="G1169" s="90">
        <v>10388</v>
      </c>
      <c r="H1169" s="201">
        <v>10388</v>
      </c>
      <c r="I1169" s="379"/>
      <c r="J1169" s="379">
        <f t="shared" si="71"/>
        <v>100</v>
      </c>
      <c r="K1169" s="254"/>
    </row>
    <row r="1170" spans="1:11" ht="15">
      <c r="A1170" s="96" t="s">
        <v>166</v>
      </c>
      <c r="B1170" s="85" t="s">
        <v>1250</v>
      </c>
      <c r="C1170" s="85" t="s">
        <v>142</v>
      </c>
      <c r="D1170" s="85"/>
      <c r="E1170" s="85"/>
      <c r="F1170" s="243">
        <f aca="true" t="shared" si="72" ref="F1170:H1171">F1171</f>
        <v>6516</v>
      </c>
      <c r="G1170" s="243">
        <f t="shared" si="72"/>
        <v>7516</v>
      </c>
      <c r="H1170" s="243">
        <f t="shared" si="72"/>
        <v>7516</v>
      </c>
      <c r="I1170" s="379">
        <f t="shared" si="70"/>
        <v>115.34683855125844</v>
      </c>
      <c r="J1170" s="379">
        <f t="shared" si="71"/>
        <v>100</v>
      </c>
      <c r="K1170" s="254"/>
    </row>
    <row r="1171" spans="1:11" ht="24">
      <c r="A1171" s="94" t="s">
        <v>43</v>
      </c>
      <c r="B1171" s="85" t="s">
        <v>1250</v>
      </c>
      <c r="C1171" s="85" t="s">
        <v>142</v>
      </c>
      <c r="D1171" s="85" t="s">
        <v>1383</v>
      </c>
      <c r="E1171" s="85"/>
      <c r="F1171" s="243">
        <f t="shared" si="72"/>
        <v>6516</v>
      </c>
      <c r="G1171" s="243">
        <f t="shared" si="72"/>
        <v>7516</v>
      </c>
      <c r="H1171" s="243">
        <f t="shared" si="72"/>
        <v>7516</v>
      </c>
      <c r="I1171" s="379">
        <f t="shared" si="70"/>
        <v>115.34683855125844</v>
      </c>
      <c r="J1171" s="379">
        <f t="shared" si="71"/>
        <v>100</v>
      </c>
      <c r="K1171" s="254"/>
    </row>
    <row r="1172" spans="1:11" ht="24">
      <c r="A1172" s="87" t="s">
        <v>759</v>
      </c>
      <c r="B1172" s="85" t="s">
        <v>1250</v>
      </c>
      <c r="C1172" s="85" t="s">
        <v>142</v>
      </c>
      <c r="D1172" s="85" t="s">
        <v>773</v>
      </c>
      <c r="E1172" s="85" t="s">
        <v>1071</v>
      </c>
      <c r="F1172" s="243">
        <f>F1173+F1174</f>
        <v>6516</v>
      </c>
      <c r="G1172" s="243">
        <f>G1173+G1174</f>
        <v>7516</v>
      </c>
      <c r="H1172" s="243">
        <f>H1173+H1174</f>
        <v>7516</v>
      </c>
      <c r="I1172" s="379">
        <f t="shared" si="70"/>
        <v>115.34683855125844</v>
      </c>
      <c r="J1172" s="379">
        <f t="shared" si="71"/>
        <v>100</v>
      </c>
      <c r="K1172" s="254"/>
    </row>
    <row r="1173" spans="1:11" ht="15">
      <c r="A1173" s="87" t="s">
        <v>924</v>
      </c>
      <c r="B1173" s="85" t="s">
        <v>1250</v>
      </c>
      <c r="C1173" s="85" t="s">
        <v>142</v>
      </c>
      <c r="D1173" s="85" t="s">
        <v>168</v>
      </c>
      <c r="E1173" s="85" t="s">
        <v>1881</v>
      </c>
      <c r="F1173" s="90">
        <v>6516</v>
      </c>
      <c r="G1173" s="90">
        <v>0</v>
      </c>
      <c r="H1173" s="201"/>
      <c r="I1173" s="379">
        <f t="shared" si="70"/>
        <v>0</v>
      </c>
      <c r="J1173" s="379"/>
      <c r="K1173" s="254"/>
    </row>
    <row r="1174" spans="1:11" ht="24">
      <c r="A1174" s="92" t="s">
        <v>185</v>
      </c>
      <c r="B1174" s="85" t="s">
        <v>1250</v>
      </c>
      <c r="C1174" s="85" t="s">
        <v>142</v>
      </c>
      <c r="D1174" s="85" t="s">
        <v>773</v>
      </c>
      <c r="E1174" s="85" t="s">
        <v>186</v>
      </c>
      <c r="F1174" s="90"/>
      <c r="G1174" s="90">
        <v>7516</v>
      </c>
      <c r="H1174" s="201">
        <v>7516</v>
      </c>
      <c r="I1174" s="379"/>
      <c r="J1174" s="379">
        <f t="shared" si="71"/>
        <v>100</v>
      </c>
      <c r="K1174" s="254"/>
    </row>
    <row r="1175" spans="1:11" ht="15.75">
      <c r="A1175" s="91" t="s">
        <v>1082</v>
      </c>
      <c r="B1175" s="85" t="s">
        <v>546</v>
      </c>
      <c r="C1175" s="85" t="s">
        <v>169</v>
      </c>
      <c r="D1175" s="85"/>
      <c r="E1175" s="85"/>
      <c r="F1175" s="244">
        <f>F1176</f>
        <v>55000</v>
      </c>
      <c r="G1175" s="244">
        <f>G1176</f>
        <v>0</v>
      </c>
      <c r="H1175" s="201"/>
      <c r="I1175" s="379">
        <f t="shared" si="70"/>
        <v>0</v>
      </c>
      <c r="J1175" s="379"/>
      <c r="K1175" s="254"/>
    </row>
    <row r="1176" spans="1:11" ht="15">
      <c r="A1176" s="93" t="s">
        <v>476</v>
      </c>
      <c r="B1176" s="85" t="s">
        <v>546</v>
      </c>
      <c r="C1176" s="85" t="s">
        <v>141</v>
      </c>
      <c r="D1176" s="85" t="s">
        <v>1076</v>
      </c>
      <c r="E1176" s="85"/>
      <c r="F1176" s="243">
        <f>F1178+F1179</f>
        <v>55000</v>
      </c>
      <c r="G1176" s="243">
        <f>G1178+G1179</f>
        <v>0</v>
      </c>
      <c r="H1176" s="201"/>
      <c r="I1176" s="379">
        <f t="shared" si="70"/>
        <v>0</v>
      </c>
      <c r="J1176" s="379"/>
      <c r="K1176" s="254"/>
    </row>
    <row r="1177" spans="1:11" ht="15.75" hidden="1">
      <c r="A1177" s="87"/>
      <c r="B1177" s="85"/>
      <c r="C1177" s="85"/>
      <c r="D1177" s="85"/>
      <c r="E1177" s="85"/>
      <c r="F1177" s="243"/>
      <c r="G1177" s="243"/>
      <c r="H1177" s="201"/>
      <c r="I1177" s="379" t="e">
        <f t="shared" si="70"/>
        <v>#DIV/0!</v>
      </c>
      <c r="J1177" s="379"/>
      <c r="K1177" s="254"/>
    </row>
    <row r="1178" spans="1:11" ht="15">
      <c r="A1178" s="87" t="s">
        <v>170</v>
      </c>
      <c r="B1178" s="85" t="s">
        <v>546</v>
      </c>
      <c r="C1178" s="85" t="s">
        <v>141</v>
      </c>
      <c r="D1178" s="85" t="s">
        <v>539</v>
      </c>
      <c r="E1178" s="85" t="s">
        <v>541</v>
      </c>
      <c r="F1178" s="90">
        <v>25000</v>
      </c>
      <c r="G1178" s="90">
        <f>15000+10000-5000-11000-9000</f>
        <v>0</v>
      </c>
      <c r="H1178" s="201"/>
      <c r="I1178" s="379">
        <f t="shared" si="70"/>
        <v>0</v>
      </c>
      <c r="J1178" s="379"/>
      <c r="K1178" s="254"/>
    </row>
    <row r="1179" spans="1:11" ht="36">
      <c r="A1179" s="87" t="s">
        <v>552</v>
      </c>
      <c r="B1179" s="85" t="s">
        <v>546</v>
      </c>
      <c r="C1179" s="85" t="s">
        <v>141</v>
      </c>
      <c r="D1179" s="85" t="s">
        <v>539</v>
      </c>
      <c r="E1179" s="85" t="s">
        <v>553</v>
      </c>
      <c r="F1179" s="90">
        <v>30000</v>
      </c>
      <c r="G1179" s="90">
        <f>90000-60000+30000-12000-48000</f>
        <v>0</v>
      </c>
      <c r="H1179" s="201"/>
      <c r="I1179" s="379">
        <f t="shared" si="70"/>
        <v>0</v>
      </c>
      <c r="J1179" s="379"/>
      <c r="K1179" s="254"/>
    </row>
    <row r="1180" spans="1:11" ht="38.25">
      <c r="A1180" s="175" t="s">
        <v>554</v>
      </c>
      <c r="B1180" s="116" t="s">
        <v>1764</v>
      </c>
      <c r="C1180" s="116"/>
      <c r="D1180" s="116"/>
      <c r="E1180" s="116"/>
      <c r="F1180" s="244">
        <f aca="true" t="shared" si="73" ref="F1180:H1181">F1181</f>
        <v>139659</v>
      </c>
      <c r="G1180" s="244">
        <f t="shared" si="73"/>
        <v>146132</v>
      </c>
      <c r="H1180" s="244">
        <f t="shared" si="73"/>
        <v>146132</v>
      </c>
      <c r="I1180" s="420">
        <f t="shared" si="70"/>
        <v>104.63486062480756</v>
      </c>
      <c r="J1180" s="420">
        <f t="shared" si="71"/>
        <v>100</v>
      </c>
      <c r="K1180" s="254"/>
    </row>
    <row r="1181" spans="1:11" ht="15">
      <c r="A1181" s="91" t="s">
        <v>555</v>
      </c>
      <c r="B1181" s="85" t="s">
        <v>1764</v>
      </c>
      <c r="C1181" s="85" t="s">
        <v>1598</v>
      </c>
      <c r="D1181" s="85"/>
      <c r="E1181" s="85"/>
      <c r="F1181" s="243">
        <f t="shared" si="73"/>
        <v>139659</v>
      </c>
      <c r="G1181" s="243">
        <f t="shared" si="73"/>
        <v>146132</v>
      </c>
      <c r="H1181" s="243">
        <f t="shared" si="73"/>
        <v>146132</v>
      </c>
      <c r="I1181" s="379">
        <f t="shared" si="70"/>
        <v>104.63486062480756</v>
      </c>
      <c r="J1181" s="379">
        <f t="shared" si="71"/>
        <v>100</v>
      </c>
      <c r="K1181" s="254"/>
    </row>
    <row r="1182" spans="1:11" ht="36">
      <c r="A1182" s="92" t="s">
        <v>202</v>
      </c>
      <c r="B1182" s="85" t="s">
        <v>1764</v>
      </c>
      <c r="C1182" s="85" t="s">
        <v>1598</v>
      </c>
      <c r="D1182" s="85" t="s">
        <v>203</v>
      </c>
      <c r="E1182" s="85" t="s">
        <v>1071</v>
      </c>
      <c r="F1182" s="243">
        <f>F1183+F1184</f>
        <v>139659</v>
      </c>
      <c r="G1182" s="243">
        <f>G1183+G1184</f>
        <v>146132</v>
      </c>
      <c r="H1182" s="243">
        <f>H1183+H1184</f>
        <v>146132</v>
      </c>
      <c r="I1182" s="379">
        <f t="shared" si="70"/>
        <v>104.63486062480756</v>
      </c>
      <c r="J1182" s="379">
        <f t="shared" si="71"/>
        <v>100</v>
      </c>
      <c r="K1182" s="254"/>
    </row>
    <row r="1183" spans="1:11" ht="15">
      <c r="A1183" s="92" t="s">
        <v>878</v>
      </c>
      <c r="B1183" s="85" t="s">
        <v>1764</v>
      </c>
      <c r="C1183" s="85" t="s">
        <v>1598</v>
      </c>
      <c r="D1183" s="85" t="s">
        <v>203</v>
      </c>
      <c r="E1183" s="85" t="s">
        <v>893</v>
      </c>
      <c r="F1183" s="90">
        <v>139659</v>
      </c>
      <c r="G1183" s="243"/>
      <c r="H1183" s="201"/>
      <c r="I1183" s="379">
        <f t="shared" si="70"/>
        <v>0</v>
      </c>
      <c r="J1183" s="379"/>
      <c r="K1183" s="254"/>
    </row>
    <row r="1184" spans="1:11" ht="36">
      <c r="A1184" s="92" t="s">
        <v>556</v>
      </c>
      <c r="B1184" s="85" t="s">
        <v>1764</v>
      </c>
      <c r="C1184" s="85" t="s">
        <v>1598</v>
      </c>
      <c r="D1184" s="85" t="s">
        <v>203</v>
      </c>
      <c r="E1184" s="85" t="s">
        <v>557</v>
      </c>
      <c r="F1184" s="90"/>
      <c r="G1184" s="90">
        <f>139659+6473</f>
        <v>146132</v>
      </c>
      <c r="H1184" s="201">
        <v>146132</v>
      </c>
      <c r="I1184" s="379"/>
      <c r="J1184" s="379">
        <f t="shared" si="71"/>
        <v>100</v>
      </c>
      <c r="K1184" s="254"/>
    </row>
    <row r="1185" spans="1:11" ht="42" customHeight="1">
      <c r="A1185" s="512" t="s">
        <v>288</v>
      </c>
      <c r="B1185" s="512"/>
      <c r="C1185" s="512"/>
      <c r="D1185" s="512"/>
      <c r="E1185" s="512"/>
      <c r="F1185" s="512"/>
      <c r="G1185" s="512"/>
      <c r="H1185" s="512"/>
      <c r="I1185" s="512"/>
      <c r="J1185" s="512"/>
      <c r="K1185" s="254"/>
    </row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</sheetData>
  <sheetProtection/>
  <mergeCells count="16">
    <mergeCell ref="A1185:J1185"/>
    <mergeCell ref="I11:I12"/>
    <mergeCell ref="H9:H12"/>
    <mergeCell ref="E11:E12"/>
    <mergeCell ref="B9:E10"/>
    <mergeCell ref="F9:F12"/>
    <mergeCell ref="G9:G12"/>
    <mergeCell ref="J11:J12"/>
    <mergeCell ref="A5:J5"/>
    <mergeCell ref="A6:J6"/>
    <mergeCell ref="A7:J7"/>
    <mergeCell ref="I9:J9"/>
    <mergeCell ref="A9:A12"/>
    <mergeCell ref="B11:B12"/>
    <mergeCell ref="C11:C12"/>
    <mergeCell ref="D11:D12"/>
  </mergeCells>
  <printOptions horizontalCentered="1"/>
  <pageMargins left="0.2" right="0.25" top="0.4330708661417323" bottom="0.6299212598425197" header="0.3937007874015748" footer="0.3937007874015748"/>
  <pageSetup firstPageNumber="18" useFirstPageNumber="1" horizontalDpi="600" verticalDpi="600" orientation="landscape" paperSize="9" scale="75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PageLayoutView="0" workbookViewId="0" topLeftCell="A1">
      <selection activeCell="G7" sqref="G7"/>
    </sheetView>
  </sheetViews>
  <sheetFormatPr defaultColWidth="9.00390625" defaultRowHeight="12.75"/>
  <cols>
    <col min="1" max="1" width="23.875" style="15" customWidth="1"/>
    <col min="2" max="2" width="62.375" style="15" customWidth="1"/>
    <col min="3" max="3" width="15.75390625" style="18" customWidth="1"/>
    <col min="4" max="5" width="15.75390625" style="15" customWidth="1"/>
    <col min="6" max="16384" width="8.75390625" style="15" customWidth="1"/>
  </cols>
  <sheetData>
    <row r="1" spans="4:5" ht="12.75">
      <c r="D1" s="75" t="s">
        <v>1854</v>
      </c>
      <c r="E1" s="58"/>
    </row>
    <row r="2" spans="4:5" ht="12.75">
      <c r="D2" s="75" t="s">
        <v>1059</v>
      </c>
      <c r="E2" s="58"/>
    </row>
    <row r="3" spans="4:5" ht="12.75">
      <c r="D3" s="22" t="s">
        <v>1612</v>
      </c>
      <c r="E3" s="58"/>
    </row>
    <row r="4" ht="12.75"/>
    <row r="5" spans="2:23" ht="15.75">
      <c r="B5" s="521" t="s">
        <v>1866</v>
      </c>
      <c r="C5" s="521"/>
      <c r="D5" s="521"/>
      <c r="E5" s="5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ht="15.75">
      <c r="B6" s="521" t="s">
        <v>1111</v>
      </c>
      <c r="C6" s="521"/>
      <c r="D6" s="521"/>
      <c r="E6" s="52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5" ht="9" customHeight="1" thickBot="1">
      <c r="B7" s="21"/>
      <c r="C7" s="15"/>
      <c r="E7" s="17" t="s">
        <v>513</v>
      </c>
    </row>
    <row r="8" spans="1:5" ht="36.75" thickBot="1">
      <c r="A8" s="69" t="s">
        <v>1877</v>
      </c>
      <c r="B8" s="70" t="s">
        <v>1045</v>
      </c>
      <c r="C8" s="30" t="s">
        <v>515</v>
      </c>
      <c r="D8" s="30" t="s">
        <v>1236</v>
      </c>
      <c r="E8" s="71" t="s">
        <v>1867</v>
      </c>
    </row>
    <row r="9" spans="1:5" s="58" customFormat="1" ht="15.75" customHeight="1">
      <c r="A9" s="522" t="s">
        <v>206</v>
      </c>
      <c r="B9" s="523"/>
      <c r="C9" s="255">
        <f>'Приложение 1'!C279</f>
        <v>-192279</v>
      </c>
      <c r="D9" s="255">
        <f>'Приложение 1'!D279</f>
        <v>-212988.26999999955</v>
      </c>
      <c r="E9" s="286">
        <f>'Приложение 1'!E279</f>
        <v>151167.99400000088</v>
      </c>
    </row>
    <row r="10" spans="1:5" s="58" customFormat="1" ht="13.5" customHeight="1" hidden="1">
      <c r="A10" s="524" t="s">
        <v>207</v>
      </c>
      <c r="B10" s="525"/>
      <c r="C10" s="256" t="e">
        <f>(-C9-C22-C31)/('[2]Приложение 2'!C5)*100</f>
        <v>#REF!</v>
      </c>
      <c r="D10" s="209"/>
      <c r="E10" s="209"/>
    </row>
    <row r="11" spans="1:5" s="58" customFormat="1" ht="24.75" customHeight="1" hidden="1">
      <c r="A11" s="519" t="s">
        <v>208</v>
      </c>
      <c r="B11" s="520"/>
      <c r="C11" s="257" t="e">
        <f>C12+C17+C22+C29+#REF!</f>
        <v>#REF!</v>
      </c>
      <c r="D11" s="214"/>
      <c r="E11" s="214"/>
    </row>
    <row r="12" spans="1:5" s="58" customFormat="1" ht="18" customHeight="1">
      <c r="A12" s="258" t="s">
        <v>347</v>
      </c>
      <c r="B12" s="259" t="s">
        <v>348</v>
      </c>
      <c r="C12" s="260">
        <f>C13-C15</f>
        <v>192279</v>
      </c>
      <c r="D12" s="260">
        <f>D13-D15</f>
        <v>0</v>
      </c>
      <c r="E12" s="260">
        <f>E13-E15</f>
        <v>0</v>
      </c>
    </row>
    <row r="13" spans="1:5" s="58" customFormat="1" ht="25.5">
      <c r="A13" s="261" t="s">
        <v>349</v>
      </c>
      <c r="B13" s="262" t="s">
        <v>350</v>
      </c>
      <c r="C13" s="171">
        <f>C14</f>
        <v>250000</v>
      </c>
      <c r="D13" s="171">
        <f>D14</f>
        <v>0</v>
      </c>
      <c r="E13" s="171">
        <f>E14</f>
        <v>0</v>
      </c>
    </row>
    <row r="14" spans="1:5" s="58" customFormat="1" ht="18" customHeight="1">
      <c r="A14" s="261" t="s">
        <v>351</v>
      </c>
      <c r="B14" s="263" t="s">
        <v>998</v>
      </c>
      <c r="C14" s="170">
        <v>250000</v>
      </c>
      <c r="D14" s="170">
        <v>0</v>
      </c>
      <c r="E14" s="170">
        <v>0</v>
      </c>
    </row>
    <row r="15" spans="1:5" s="58" customFormat="1" ht="29.25" customHeight="1">
      <c r="A15" s="261" t="s">
        <v>999</v>
      </c>
      <c r="B15" s="263" t="s">
        <v>1000</v>
      </c>
      <c r="C15" s="260">
        <f>C16</f>
        <v>57721</v>
      </c>
      <c r="D15" s="260">
        <f>D16</f>
        <v>0</v>
      </c>
      <c r="E15" s="260">
        <f>E16</f>
        <v>0</v>
      </c>
    </row>
    <row r="16" spans="1:5" s="58" customFormat="1" ht="27.75" customHeight="1">
      <c r="A16" s="261" t="s">
        <v>1001</v>
      </c>
      <c r="B16" s="264" t="s">
        <v>1002</v>
      </c>
      <c r="C16" s="265">
        <v>57721</v>
      </c>
      <c r="D16" s="265">
        <v>0</v>
      </c>
      <c r="E16" s="265">
        <v>0</v>
      </c>
    </row>
    <row r="17" spans="1:5" s="58" customFormat="1" ht="27.75" customHeight="1" hidden="1">
      <c r="A17" s="266" t="s">
        <v>1003</v>
      </c>
      <c r="B17" s="267" t="s">
        <v>1004</v>
      </c>
      <c r="C17" s="260">
        <f>SUM(C18-C20)</f>
        <v>0</v>
      </c>
      <c r="D17" s="260">
        <f>SUM(D18-D20)</f>
        <v>0</v>
      </c>
      <c r="E17" s="260">
        <f>SUM(E18-E20)</f>
        <v>0</v>
      </c>
    </row>
    <row r="18" spans="1:5" s="58" customFormat="1" ht="13.5" customHeight="1" hidden="1">
      <c r="A18" s="261" t="s">
        <v>1005</v>
      </c>
      <c r="B18" s="268" t="s">
        <v>1899</v>
      </c>
      <c r="C18" s="260">
        <f>C19</f>
        <v>0</v>
      </c>
      <c r="D18" s="210"/>
      <c r="E18" s="210"/>
    </row>
    <row r="19" spans="1:5" s="58" customFormat="1" ht="13.5" customHeight="1" hidden="1">
      <c r="A19" s="261" t="s">
        <v>1900</v>
      </c>
      <c r="B19" s="269" t="s">
        <v>1901</v>
      </c>
      <c r="C19" s="265"/>
      <c r="D19" s="210"/>
      <c r="E19" s="210"/>
    </row>
    <row r="20" spans="1:5" s="58" customFormat="1" ht="13.5" customHeight="1" hidden="1">
      <c r="A20" s="261" t="s">
        <v>1902</v>
      </c>
      <c r="B20" s="270" t="s">
        <v>1016</v>
      </c>
      <c r="C20" s="260">
        <f>C21</f>
        <v>0</v>
      </c>
      <c r="D20" s="211"/>
      <c r="E20" s="211"/>
    </row>
    <row r="21" spans="1:5" s="58" customFormat="1" ht="13.5" customHeight="1" hidden="1">
      <c r="A21" s="261" t="s">
        <v>1017</v>
      </c>
      <c r="B21" s="263" t="s">
        <v>1018</v>
      </c>
      <c r="C21" s="265"/>
      <c r="D21" s="212"/>
      <c r="E21" s="212"/>
    </row>
    <row r="22" spans="1:5" s="58" customFormat="1" ht="24" customHeight="1">
      <c r="A22" s="266" t="s">
        <v>1019</v>
      </c>
      <c r="B22" s="259" t="s">
        <v>1020</v>
      </c>
      <c r="C22" s="271">
        <f>C26-C23</f>
        <v>0</v>
      </c>
      <c r="D22" s="271">
        <f>D26-D23</f>
        <v>212988.30000000075</v>
      </c>
      <c r="E22" s="271">
        <f>E26-E23</f>
        <v>-151168</v>
      </c>
    </row>
    <row r="23" spans="1:6" ht="16.5" customHeight="1">
      <c r="A23" s="272" t="s">
        <v>1021</v>
      </c>
      <c r="B23" s="268" t="s">
        <v>1022</v>
      </c>
      <c r="C23" s="271">
        <f aca="true" t="shared" si="0" ref="C23:E24">C24</f>
        <v>3823996.2</v>
      </c>
      <c r="D23" s="271">
        <f t="shared" si="0"/>
        <v>4288959.1</v>
      </c>
      <c r="E23" s="271">
        <f t="shared" si="0"/>
        <v>4377015.1</v>
      </c>
      <c r="F23" s="58"/>
    </row>
    <row r="24" spans="1:6" ht="15.75">
      <c r="A24" s="272" t="s">
        <v>1023</v>
      </c>
      <c r="B24" s="269" t="s">
        <v>1024</v>
      </c>
      <c r="C24" s="271">
        <f t="shared" si="0"/>
        <v>3823996.2</v>
      </c>
      <c r="D24" s="271">
        <f t="shared" si="0"/>
        <v>4288959.1</v>
      </c>
      <c r="E24" s="271">
        <f t="shared" si="0"/>
        <v>4377015.1</v>
      </c>
      <c r="F24" s="58"/>
    </row>
    <row r="25" spans="1:6" ht="25.5">
      <c r="A25" s="272" t="s">
        <v>1025</v>
      </c>
      <c r="B25" s="269" t="s">
        <v>1026</v>
      </c>
      <c r="C25" s="265">
        <v>3823996.2</v>
      </c>
      <c r="D25" s="265">
        <v>4288959.1</v>
      </c>
      <c r="E25" s="265">
        <v>4377015.1</v>
      </c>
      <c r="F25" s="58"/>
    </row>
    <row r="26" spans="1:6" ht="15.75">
      <c r="A26" s="273" t="s">
        <v>1027</v>
      </c>
      <c r="B26" s="268" t="s">
        <v>1028</v>
      </c>
      <c r="C26" s="271">
        <f aca="true" t="shared" si="1" ref="C26:E27">C27</f>
        <v>3823996.2</v>
      </c>
      <c r="D26" s="271">
        <f t="shared" si="1"/>
        <v>4501947.4</v>
      </c>
      <c r="E26" s="271">
        <f t="shared" si="1"/>
        <v>4225847.1</v>
      </c>
      <c r="F26" s="58"/>
    </row>
    <row r="27" spans="1:6" ht="15.75">
      <c r="A27" s="273" t="s">
        <v>1029</v>
      </c>
      <c r="B27" s="269" t="s">
        <v>1028</v>
      </c>
      <c r="C27" s="271">
        <f t="shared" si="1"/>
        <v>3823996.2</v>
      </c>
      <c r="D27" s="271">
        <f t="shared" si="1"/>
        <v>4501947.4</v>
      </c>
      <c r="E27" s="271">
        <f t="shared" si="1"/>
        <v>4225847.1</v>
      </c>
      <c r="F27" s="58"/>
    </row>
    <row r="28" spans="1:6" ht="25.5">
      <c r="A28" s="273" t="s">
        <v>1030</v>
      </c>
      <c r="B28" s="269" t="s">
        <v>1031</v>
      </c>
      <c r="C28" s="265">
        <v>3823996.2</v>
      </c>
      <c r="D28" s="265">
        <v>4501947.4</v>
      </c>
      <c r="E28" s="265">
        <v>4225847.1</v>
      </c>
      <c r="F28" s="58"/>
    </row>
    <row r="29" spans="1:6" ht="12.75">
      <c r="A29" s="72"/>
      <c r="B29" s="123"/>
      <c r="C29" s="213"/>
      <c r="D29" s="213"/>
      <c r="E29" s="213"/>
      <c r="F29" s="58"/>
    </row>
    <row r="30" spans="1:6" ht="18" customHeight="1" hidden="1">
      <c r="A30" s="72"/>
      <c r="B30" s="121"/>
      <c r="C30" s="212"/>
      <c r="D30" s="212"/>
      <c r="E30" s="212"/>
      <c r="F30" s="58"/>
    </row>
    <row r="31" spans="1:6" ht="28.5" customHeight="1" hidden="1">
      <c r="A31" s="72"/>
      <c r="B31" s="121"/>
      <c r="C31" s="212"/>
      <c r="D31" s="212"/>
      <c r="E31" s="212"/>
      <c r="F31" s="58"/>
    </row>
    <row r="32" spans="1:6" ht="12.75" hidden="1">
      <c r="A32" s="72"/>
      <c r="B32" s="122"/>
      <c r="C32" s="212"/>
      <c r="D32" s="212"/>
      <c r="E32" s="212"/>
      <c r="F32" s="58"/>
    </row>
    <row r="33" spans="1:6" ht="12.75" hidden="1">
      <c r="A33" s="72"/>
      <c r="B33" s="123"/>
      <c r="C33" s="213"/>
      <c r="D33" s="213"/>
      <c r="E33" s="213"/>
      <c r="F33" s="58"/>
    </row>
    <row r="34" spans="1:6" ht="12.75" hidden="1">
      <c r="A34" s="72"/>
      <c r="B34" s="121"/>
      <c r="C34" s="212"/>
      <c r="D34" s="212"/>
      <c r="E34" s="212"/>
      <c r="F34" s="58"/>
    </row>
    <row r="35" spans="1:6" ht="12.75" hidden="1">
      <c r="A35" s="124"/>
      <c r="B35" s="129"/>
      <c r="C35" s="212"/>
      <c r="D35" s="212"/>
      <c r="E35" s="212"/>
      <c r="F35" s="58"/>
    </row>
    <row r="36" spans="1:2" ht="12.75">
      <c r="A36" s="21"/>
      <c r="B36" s="125"/>
    </row>
    <row r="37" spans="1:6" ht="12.75">
      <c r="A37" s="126"/>
      <c r="B37" s="127"/>
      <c r="C37" s="74"/>
      <c r="D37" s="58"/>
      <c r="E37" s="58"/>
      <c r="F37" s="58"/>
    </row>
    <row r="38" spans="1:6" ht="12.75">
      <c r="A38" s="126"/>
      <c r="B38" s="128"/>
      <c r="C38" s="74"/>
      <c r="D38" s="58"/>
      <c r="E38" s="58"/>
      <c r="F38" s="58"/>
    </row>
    <row r="39" spans="1:6" ht="12.75">
      <c r="A39" s="58"/>
      <c r="B39" s="73"/>
      <c r="C39" s="74"/>
      <c r="D39" s="58"/>
      <c r="E39" s="58"/>
      <c r="F39" s="58"/>
    </row>
    <row r="40" spans="1:6" ht="12.75">
      <c r="A40" s="58"/>
      <c r="B40" s="73"/>
      <c r="C40" s="74"/>
      <c r="D40" s="58"/>
      <c r="E40" s="58"/>
      <c r="F40" s="58"/>
    </row>
    <row r="41" spans="1:6" ht="12.75">
      <c r="A41" s="58"/>
      <c r="B41" s="73"/>
      <c r="C41" s="74"/>
      <c r="D41" s="58"/>
      <c r="E41" s="58"/>
      <c r="F41" s="58"/>
    </row>
    <row r="42" spans="1:6" ht="12.75">
      <c r="A42" s="58"/>
      <c r="B42" s="73"/>
      <c r="C42" s="74"/>
      <c r="D42" s="58"/>
      <c r="E42" s="58"/>
      <c r="F42" s="58"/>
    </row>
    <row r="43" spans="1:6" ht="12.75">
      <c r="A43" s="58"/>
      <c r="B43" s="73"/>
      <c r="C43" s="74"/>
      <c r="D43" s="58"/>
      <c r="E43" s="58"/>
      <c r="F43" s="58"/>
    </row>
    <row r="44" spans="1:6" ht="12.75">
      <c r="A44" s="58"/>
      <c r="B44" s="73"/>
      <c r="C44" s="74"/>
      <c r="D44" s="58"/>
      <c r="E44" s="58"/>
      <c r="F44" s="58"/>
    </row>
    <row r="45" spans="1:6" ht="12.75">
      <c r="A45" s="58"/>
      <c r="B45" s="73"/>
      <c r="C45" s="74"/>
      <c r="D45" s="58"/>
      <c r="E45" s="58"/>
      <c r="F45" s="58"/>
    </row>
    <row r="46" spans="1:6" ht="12.75">
      <c r="A46" s="58"/>
      <c r="B46" s="73"/>
      <c r="C46" s="74"/>
      <c r="D46" s="58"/>
      <c r="E46" s="58"/>
      <c r="F46" s="58"/>
    </row>
    <row r="47" spans="1:6" ht="12.75">
      <c r="A47" s="58"/>
      <c r="B47" s="73"/>
      <c r="C47" s="74"/>
      <c r="D47" s="58"/>
      <c r="E47" s="58"/>
      <c r="F47" s="58"/>
    </row>
    <row r="48" spans="1:6" ht="12.75">
      <c r="A48" s="58"/>
      <c r="B48" s="73"/>
      <c r="C48" s="74"/>
      <c r="D48" s="58"/>
      <c r="E48" s="58"/>
      <c r="F48" s="58"/>
    </row>
    <row r="49" spans="1:6" ht="12.75">
      <c r="A49" s="58"/>
      <c r="B49" s="73"/>
      <c r="C49" s="74"/>
      <c r="D49" s="58"/>
      <c r="E49" s="58"/>
      <c r="F49" s="58"/>
    </row>
    <row r="50" spans="1:6" ht="12.75">
      <c r="A50" s="58"/>
      <c r="B50" s="73"/>
      <c r="C50" s="74"/>
      <c r="D50" s="58"/>
      <c r="E50" s="58"/>
      <c r="F50" s="58"/>
    </row>
    <row r="51" spans="2:3" s="58" customFormat="1" ht="12.75">
      <c r="B51" s="73"/>
      <c r="C51" s="74"/>
    </row>
    <row r="52" spans="2:3" ht="12.75">
      <c r="B52" s="19"/>
      <c r="C52" s="20"/>
    </row>
    <row r="53" spans="2:3" ht="12.75">
      <c r="B53" s="19"/>
      <c r="C53" s="20"/>
    </row>
    <row r="54" spans="2:3" ht="12.75">
      <c r="B54" s="19"/>
      <c r="C54" s="20"/>
    </row>
    <row r="55" spans="2:3" ht="12.75">
      <c r="B55" s="19"/>
      <c r="C55" s="20"/>
    </row>
    <row r="56" spans="2:3" ht="12.75">
      <c r="B56" s="19"/>
      <c r="C56" s="20"/>
    </row>
    <row r="57" spans="2:3" ht="12.75">
      <c r="B57" s="19"/>
      <c r="C57" s="20"/>
    </row>
    <row r="58" spans="2:3" ht="12.75">
      <c r="B58" s="19"/>
      <c r="C58" s="20"/>
    </row>
    <row r="59" spans="2:3" ht="12.75">
      <c r="B59" s="19"/>
      <c r="C59" s="20"/>
    </row>
  </sheetData>
  <sheetProtection/>
  <mergeCells count="5">
    <mergeCell ref="A11:B11"/>
    <mergeCell ref="B5:E5"/>
    <mergeCell ref="B6:E6"/>
    <mergeCell ref="A9:B9"/>
    <mergeCell ref="A10:B10"/>
  </mergeCells>
  <printOptions horizontalCentered="1"/>
  <pageMargins left="1.062992125984252" right="0.32" top="0.4330708661417323" bottom="0.7086614173228347" header="0.31496062992125984" footer="0.5118110236220472"/>
  <pageSetup firstPageNumber="51" useFirstPageNumber="1"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5"/>
  <sheetViews>
    <sheetView showGridLines="0" showZeros="0" view="pageBreakPreview" zoomScaleNormal="90" zoomScaleSheetLayoutView="100" zoomScalePageLayoutView="0" workbookViewId="0" topLeftCell="A1">
      <selection activeCell="A6" sqref="A6:K6"/>
    </sheetView>
  </sheetViews>
  <sheetFormatPr defaultColWidth="9.75390625" defaultRowHeight="12.75"/>
  <cols>
    <col min="1" max="1" width="51.75390625" style="2" customWidth="1"/>
    <col min="2" max="2" width="4.25390625" style="3" customWidth="1"/>
    <col min="3" max="3" width="4.00390625" style="3" customWidth="1"/>
    <col min="4" max="4" width="4.375" style="3" customWidth="1"/>
    <col min="5" max="5" width="8.375" style="3" customWidth="1"/>
    <col min="6" max="6" width="5.75390625" style="3" customWidth="1"/>
    <col min="7" max="7" width="13.00390625" style="4" customWidth="1"/>
    <col min="8" max="8" width="14.375" style="6" customWidth="1"/>
    <col min="9" max="9" width="13.375" style="6" customWidth="1"/>
    <col min="10" max="10" width="9.375" style="6" customWidth="1"/>
    <col min="11" max="11" width="10.125" style="6" customWidth="1"/>
    <col min="12" max="12" width="9.75390625" style="6" customWidth="1"/>
    <col min="13" max="13" width="17.875" style="6" customWidth="1"/>
    <col min="14" max="16384" width="9.75390625" style="6" customWidth="1"/>
  </cols>
  <sheetData>
    <row r="1" ht="15">
      <c r="I1" s="5" t="s">
        <v>1853</v>
      </c>
    </row>
    <row r="2" ht="15">
      <c r="I2" s="7" t="s">
        <v>1059</v>
      </c>
    </row>
    <row r="3" ht="15">
      <c r="I3" s="22" t="s">
        <v>1613</v>
      </c>
    </row>
    <row r="4" ht="6" customHeight="1">
      <c r="B4" s="10"/>
    </row>
    <row r="5" spans="1:11" ht="15.75">
      <c r="A5" s="505" t="s">
        <v>1852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</row>
    <row r="6" spans="1:11" ht="15.75">
      <c r="A6" s="506" t="s">
        <v>572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</row>
    <row r="7" spans="1:11" ht="10.5" customHeight="1" thickBot="1">
      <c r="A7" s="6"/>
      <c r="B7" s="11"/>
      <c r="C7" s="8"/>
      <c r="D7" s="8"/>
      <c r="E7" s="8"/>
      <c r="F7" s="6"/>
      <c r="G7" s="6"/>
      <c r="K7" s="204" t="s">
        <v>513</v>
      </c>
    </row>
    <row r="8" spans="1:11" s="9" customFormat="1" ht="63.75" customHeight="1" thickBot="1">
      <c r="A8" s="12" t="s">
        <v>1876</v>
      </c>
      <c r="B8" s="13" t="s">
        <v>1877</v>
      </c>
      <c r="C8" s="14" t="s">
        <v>1237</v>
      </c>
      <c r="D8" s="14" t="s">
        <v>1238</v>
      </c>
      <c r="E8" s="14" t="s">
        <v>1239</v>
      </c>
      <c r="F8" s="14" t="s">
        <v>1240</v>
      </c>
      <c r="G8" s="1" t="s">
        <v>515</v>
      </c>
      <c r="H8" s="30" t="s">
        <v>1236</v>
      </c>
      <c r="I8" s="1" t="s">
        <v>438</v>
      </c>
      <c r="J8" s="207" t="s">
        <v>1057</v>
      </c>
      <c r="K8" s="206" t="s">
        <v>1058</v>
      </c>
    </row>
    <row r="9" spans="1:13" s="9" customFormat="1" ht="21" customHeight="1">
      <c r="A9" s="76" t="s">
        <v>139</v>
      </c>
      <c r="B9" s="77"/>
      <c r="C9" s="77"/>
      <c r="D9" s="77"/>
      <c r="E9" s="77"/>
      <c r="F9" s="77"/>
      <c r="G9" s="78">
        <f>G10+G321+G498+G699+G1245+G1271+G1279</f>
        <v>3766275.1999999997</v>
      </c>
      <c r="H9" s="78">
        <f>H10+H321+H498+H699+H1245+H1271+H1279</f>
        <v>4501947.422</v>
      </c>
      <c r="I9" s="78">
        <f>I10+I321+I498+I699+I1245+I1271+I1279</f>
        <v>4225847.1</v>
      </c>
      <c r="J9" s="205">
        <f aca="true" t="shared" si="0" ref="J9:J17">I9/G9*100</f>
        <v>112.20229206830132</v>
      </c>
      <c r="K9" s="205">
        <f>I9/H9*100</f>
        <v>93.8670913691537</v>
      </c>
      <c r="M9" s="137"/>
    </row>
    <row r="10" spans="1:11" ht="15.75">
      <c r="A10" s="79" t="s">
        <v>209</v>
      </c>
      <c r="B10" s="80" t="s">
        <v>1776</v>
      </c>
      <c r="C10" s="80"/>
      <c r="D10" s="80"/>
      <c r="E10" s="80"/>
      <c r="F10" s="80"/>
      <c r="G10" s="81">
        <f>G11+G298</f>
        <v>1465343.8</v>
      </c>
      <c r="H10" s="81">
        <f>H11+H298</f>
        <v>1643186.9999999998</v>
      </c>
      <c r="I10" s="81">
        <f>I11+I298</f>
        <v>1609324.0999999999</v>
      </c>
      <c r="J10" s="202">
        <f t="shared" si="0"/>
        <v>109.8257009720176</v>
      </c>
      <c r="K10" s="202">
        <f>I10/H10*100</f>
        <v>97.93919377405007</v>
      </c>
    </row>
    <row r="11" spans="1:11" ht="15">
      <c r="A11" s="88" t="s">
        <v>1392</v>
      </c>
      <c r="B11" s="82" t="s">
        <v>1776</v>
      </c>
      <c r="C11" s="85" t="s">
        <v>584</v>
      </c>
      <c r="D11" s="89"/>
      <c r="E11" s="89"/>
      <c r="F11" s="89"/>
      <c r="G11" s="90">
        <f>G12+G83+G208+G217+G240+G205</f>
        <v>1441193.8</v>
      </c>
      <c r="H11" s="90">
        <f>H12+H83+H208+H217+H240+H205</f>
        <v>1618644.6999999997</v>
      </c>
      <c r="I11" s="422">
        <f>I12+I83+I208+I217+I240+I205</f>
        <v>1585948.9999999998</v>
      </c>
      <c r="J11" s="203">
        <f t="shared" si="0"/>
        <v>110.04411759195743</v>
      </c>
      <c r="K11" s="433">
        <f>I11/H11*100</f>
        <v>97.98005701930758</v>
      </c>
    </row>
    <row r="12" spans="1:11" ht="15">
      <c r="A12" s="91" t="s">
        <v>1296</v>
      </c>
      <c r="B12" s="82" t="s">
        <v>1776</v>
      </c>
      <c r="C12" s="85" t="s">
        <v>584</v>
      </c>
      <c r="D12" s="85" t="s">
        <v>141</v>
      </c>
      <c r="E12" s="89"/>
      <c r="F12" s="89"/>
      <c r="G12" s="90">
        <f>G34+G13+G59+G49</f>
        <v>417816</v>
      </c>
      <c r="H12" s="90">
        <f>H34+H13+H59+H49</f>
        <v>521771.69999999995</v>
      </c>
      <c r="I12" s="422">
        <f>I34+I13+I59+I49</f>
        <v>515366.4</v>
      </c>
      <c r="J12" s="203">
        <f t="shared" si="0"/>
        <v>123.34769372163822</v>
      </c>
      <c r="K12" s="433">
        <f aca="true" t="shared" si="1" ref="K12:K75">I12/H12*100</f>
        <v>98.77239413329623</v>
      </c>
    </row>
    <row r="13" spans="1:11" ht="24">
      <c r="A13" s="86" t="s">
        <v>210</v>
      </c>
      <c r="B13" s="82" t="s">
        <v>1776</v>
      </c>
      <c r="C13" s="85" t="s">
        <v>584</v>
      </c>
      <c r="D13" s="85" t="s">
        <v>141</v>
      </c>
      <c r="E13" s="85" t="s">
        <v>936</v>
      </c>
      <c r="F13" s="89"/>
      <c r="G13" s="90">
        <f>G14</f>
        <v>20250</v>
      </c>
      <c r="H13" s="90">
        <f>H14</f>
        <v>3671.1</v>
      </c>
      <c r="I13" s="422">
        <f>I14</f>
        <v>3469.5000000000005</v>
      </c>
      <c r="J13" s="203">
        <f t="shared" si="0"/>
        <v>17.133333333333336</v>
      </c>
      <c r="K13" s="433">
        <f t="shared" si="1"/>
        <v>94.50845795538123</v>
      </c>
    </row>
    <row r="14" spans="1:11" ht="24">
      <c r="A14" s="95" t="s">
        <v>937</v>
      </c>
      <c r="B14" s="82" t="s">
        <v>1776</v>
      </c>
      <c r="C14" s="85" t="s">
        <v>584</v>
      </c>
      <c r="D14" s="85" t="s">
        <v>141</v>
      </c>
      <c r="E14" s="85" t="s">
        <v>1049</v>
      </c>
      <c r="F14" s="89" t="s">
        <v>1071</v>
      </c>
      <c r="G14" s="90">
        <f>G15+G18</f>
        <v>20250</v>
      </c>
      <c r="H14" s="90">
        <f>H15+H18</f>
        <v>3671.1</v>
      </c>
      <c r="I14" s="422">
        <f>I15+I18</f>
        <v>3469.5000000000005</v>
      </c>
      <c r="J14" s="203">
        <f t="shared" si="0"/>
        <v>17.133333333333336</v>
      </c>
      <c r="K14" s="433">
        <f t="shared" si="1"/>
        <v>94.50845795538123</v>
      </c>
    </row>
    <row r="15" spans="1:11" ht="36">
      <c r="A15" s="95" t="s">
        <v>1747</v>
      </c>
      <c r="B15" s="82" t="s">
        <v>1776</v>
      </c>
      <c r="C15" s="85" t="s">
        <v>584</v>
      </c>
      <c r="D15" s="85" t="s">
        <v>141</v>
      </c>
      <c r="E15" s="85" t="s">
        <v>1049</v>
      </c>
      <c r="F15" s="89" t="s">
        <v>1879</v>
      </c>
      <c r="G15" s="90">
        <v>20250</v>
      </c>
      <c r="H15" s="90"/>
      <c r="I15" s="422"/>
      <c r="J15" s="203">
        <f t="shared" si="0"/>
        <v>0</v>
      </c>
      <c r="K15" s="433"/>
    </row>
    <row r="16" spans="1:11" ht="15.75" hidden="1">
      <c r="A16" s="95" t="s">
        <v>819</v>
      </c>
      <c r="B16" s="82" t="s">
        <v>1776</v>
      </c>
      <c r="C16" s="85" t="s">
        <v>584</v>
      </c>
      <c r="D16" s="85" t="s">
        <v>141</v>
      </c>
      <c r="E16" s="85" t="s">
        <v>1049</v>
      </c>
      <c r="F16" s="89" t="s">
        <v>744</v>
      </c>
      <c r="G16" s="90">
        <f>G17</f>
        <v>0</v>
      </c>
      <c r="H16" s="90">
        <f>H17</f>
        <v>0</v>
      </c>
      <c r="I16" s="423"/>
      <c r="J16" s="203" t="e">
        <f t="shared" si="0"/>
        <v>#DIV/0!</v>
      </c>
      <c r="K16" s="433" t="e">
        <f t="shared" si="1"/>
        <v>#DIV/0!</v>
      </c>
    </row>
    <row r="17" spans="1:11" ht="36" hidden="1">
      <c r="A17" s="92" t="s">
        <v>820</v>
      </c>
      <c r="B17" s="82" t="s">
        <v>1776</v>
      </c>
      <c r="C17" s="85" t="s">
        <v>584</v>
      </c>
      <c r="D17" s="85" t="s">
        <v>141</v>
      </c>
      <c r="E17" s="85" t="s">
        <v>1049</v>
      </c>
      <c r="F17" s="89" t="s">
        <v>1637</v>
      </c>
      <c r="G17" s="90">
        <v>0</v>
      </c>
      <c r="H17" s="90">
        <v>0</v>
      </c>
      <c r="I17" s="424"/>
      <c r="J17" s="203" t="e">
        <f t="shared" si="0"/>
        <v>#DIV/0!</v>
      </c>
      <c r="K17" s="433" t="e">
        <f t="shared" si="1"/>
        <v>#DIV/0!</v>
      </c>
    </row>
    <row r="18" spans="1:11" ht="24">
      <c r="A18" s="92" t="s">
        <v>1742</v>
      </c>
      <c r="B18" s="82" t="s">
        <v>1776</v>
      </c>
      <c r="C18" s="85" t="s">
        <v>584</v>
      </c>
      <c r="D18" s="85" t="s">
        <v>141</v>
      </c>
      <c r="E18" s="85" t="s">
        <v>1049</v>
      </c>
      <c r="F18" s="89" t="s">
        <v>742</v>
      </c>
      <c r="G18" s="90"/>
      <c r="H18" s="90">
        <f>H19+H20+H21+H22+H23+H24+H25+H26+H27+H28+H29</f>
        <v>3671.1</v>
      </c>
      <c r="I18" s="422">
        <f>I19+I20+I21+I22+I23+I24+I25+I26+I27+I28+I29</f>
        <v>3469.5000000000005</v>
      </c>
      <c r="J18" s="203"/>
      <c r="K18" s="433">
        <f t="shared" si="1"/>
        <v>94.50845795538123</v>
      </c>
    </row>
    <row r="19" spans="1:11" ht="24">
      <c r="A19" s="92" t="s">
        <v>821</v>
      </c>
      <c r="B19" s="82" t="s">
        <v>1776</v>
      </c>
      <c r="C19" s="85" t="s">
        <v>584</v>
      </c>
      <c r="D19" s="85" t="s">
        <v>141</v>
      </c>
      <c r="E19" s="85" t="s">
        <v>1049</v>
      </c>
      <c r="F19" s="89" t="s">
        <v>742</v>
      </c>
      <c r="G19" s="90"/>
      <c r="H19" s="90">
        <v>45.6</v>
      </c>
      <c r="I19" s="424">
        <v>45</v>
      </c>
      <c r="J19" s="203"/>
      <c r="K19" s="433">
        <f t="shared" si="1"/>
        <v>98.68421052631578</v>
      </c>
    </row>
    <row r="20" spans="1:11" ht="36">
      <c r="A20" s="92" t="s">
        <v>822</v>
      </c>
      <c r="B20" s="82" t="s">
        <v>1776</v>
      </c>
      <c r="C20" s="85" t="s">
        <v>584</v>
      </c>
      <c r="D20" s="85" t="s">
        <v>141</v>
      </c>
      <c r="E20" s="85" t="s">
        <v>1049</v>
      </c>
      <c r="F20" s="89" t="s">
        <v>742</v>
      </c>
      <c r="G20" s="90"/>
      <c r="H20" s="90">
        <v>808</v>
      </c>
      <c r="I20" s="424">
        <v>808</v>
      </c>
      <c r="J20" s="203"/>
      <c r="K20" s="433">
        <f t="shared" si="1"/>
        <v>100</v>
      </c>
    </row>
    <row r="21" spans="1:11" ht="60">
      <c r="A21" s="278" t="s">
        <v>823</v>
      </c>
      <c r="B21" s="82" t="s">
        <v>1776</v>
      </c>
      <c r="C21" s="85" t="s">
        <v>584</v>
      </c>
      <c r="D21" s="85" t="s">
        <v>141</v>
      </c>
      <c r="E21" s="85" t="s">
        <v>1049</v>
      </c>
      <c r="F21" s="89" t="s">
        <v>742</v>
      </c>
      <c r="G21" s="90"/>
      <c r="H21" s="90">
        <f>103.5+914-914</f>
        <v>103.5</v>
      </c>
      <c r="I21" s="422">
        <v>103.5</v>
      </c>
      <c r="J21" s="203"/>
      <c r="K21" s="433">
        <f t="shared" si="1"/>
        <v>100</v>
      </c>
    </row>
    <row r="22" spans="1:11" ht="36">
      <c r="A22" s="92" t="s">
        <v>558</v>
      </c>
      <c r="B22" s="82" t="s">
        <v>1776</v>
      </c>
      <c r="C22" s="85" t="s">
        <v>584</v>
      </c>
      <c r="D22" s="85" t="s">
        <v>141</v>
      </c>
      <c r="E22" s="85" t="s">
        <v>1049</v>
      </c>
      <c r="F22" s="89" t="s">
        <v>742</v>
      </c>
      <c r="G22" s="90"/>
      <c r="H22" s="90">
        <v>56.6</v>
      </c>
      <c r="I22" s="422">
        <v>56.6</v>
      </c>
      <c r="J22" s="203"/>
      <c r="K22" s="433">
        <f t="shared" si="1"/>
        <v>100</v>
      </c>
    </row>
    <row r="23" spans="1:11" ht="36">
      <c r="A23" s="92" t="s">
        <v>825</v>
      </c>
      <c r="B23" s="82" t="s">
        <v>1776</v>
      </c>
      <c r="C23" s="85" t="s">
        <v>584</v>
      </c>
      <c r="D23" s="85" t="s">
        <v>141</v>
      </c>
      <c r="E23" s="85" t="s">
        <v>1049</v>
      </c>
      <c r="F23" s="89" t="s">
        <v>742</v>
      </c>
      <c r="G23" s="90"/>
      <c r="H23" s="90">
        <v>137.8</v>
      </c>
      <c r="I23" s="422">
        <v>137.8</v>
      </c>
      <c r="J23" s="203"/>
      <c r="K23" s="433">
        <f t="shared" si="1"/>
        <v>100</v>
      </c>
    </row>
    <row r="24" spans="1:11" ht="24">
      <c r="A24" s="92" t="s">
        <v>289</v>
      </c>
      <c r="B24" s="82" t="s">
        <v>1776</v>
      </c>
      <c r="C24" s="85" t="s">
        <v>584</v>
      </c>
      <c r="D24" s="85" t="s">
        <v>141</v>
      </c>
      <c r="E24" s="85" t="s">
        <v>1049</v>
      </c>
      <c r="F24" s="89" t="s">
        <v>742</v>
      </c>
      <c r="G24" s="90"/>
      <c r="H24" s="90">
        <v>200</v>
      </c>
      <c r="I24" s="422"/>
      <c r="J24" s="203"/>
      <c r="K24" s="433">
        <f t="shared" si="1"/>
        <v>0</v>
      </c>
    </row>
    <row r="25" spans="1:11" ht="36">
      <c r="A25" s="92" t="s">
        <v>559</v>
      </c>
      <c r="B25" s="82" t="s">
        <v>1776</v>
      </c>
      <c r="C25" s="85" t="s">
        <v>584</v>
      </c>
      <c r="D25" s="85" t="s">
        <v>141</v>
      </c>
      <c r="E25" s="85" t="s">
        <v>1049</v>
      </c>
      <c r="F25" s="89" t="s">
        <v>742</v>
      </c>
      <c r="G25" s="90"/>
      <c r="H25" s="90">
        <v>500</v>
      </c>
      <c r="I25" s="422">
        <v>500</v>
      </c>
      <c r="J25" s="203"/>
      <c r="K25" s="433">
        <f t="shared" si="1"/>
        <v>100</v>
      </c>
    </row>
    <row r="26" spans="1:11" ht="36">
      <c r="A26" s="92" t="s">
        <v>560</v>
      </c>
      <c r="B26" s="82" t="s">
        <v>1776</v>
      </c>
      <c r="C26" s="85" t="s">
        <v>584</v>
      </c>
      <c r="D26" s="85" t="s">
        <v>141</v>
      </c>
      <c r="E26" s="85" t="s">
        <v>1049</v>
      </c>
      <c r="F26" s="89" t="s">
        <v>742</v>
      </c>
      <c r="G26" s="90"/>
      <c r="H26" s="90">
        <v>100</v>
      </c>
      <c r="I26" s="422">
        <v>99</v>
      </c>
      <c r="J26" s="203"/>
      <c r="K26" s="433">
        <f t="shared" si="1"/>
        <v>99</v>
      </c>
    </row>
    <row r="27" spans="1:11" ht="24">
      <c r="A27" s="92" t="s">
        <v>292</v>
      </c>
      <c r="B27" s="82" t="s">
        <v>1776</v>
      </c>
      <c r="C27" s="85" t="s">
        <v>584</v>
      </c>
      <c r="D27" s="85" t="s">
        <v>141</v>
      </c>
      <c r="E27" s="85" t="s">
        <v>1049</v>
      </c>
      <c r="F27" s="89" t="s">
        <v>742</v>
      </c>
      <c r="G27" s="90"/>
      <c r="H27" s="90">
        <v>100</v>
      </c>
      <c r="I27" s="422">
        <v>100</v>
      </c>
      <c r="J27" s="203"/>
      <c r="K27" s="433">
        <f t="shared" si="1"/>
        <v>100</v>
      </c>
    </row>
    <row r="28" spans="1:11" ht="36">
      <c r="A28" s="92" t="s">
        <v>293</v>
      </c>
      <c r="B28" s="82" t="s">
        <v>1776</v>
      </c>
      <c r="C28" s="85" t="s">
        <v>584</v>
      </c>
      <c r="D28" s="85" t="s">
        <v>141</v>
      </c>
      <c r="E28" s="85" t="s">
        <v>1049</v>
      </c>
      <c r="F28" s="89" t="s">
        <v>742</v>
      </c>
      <c r="G28" s="90"/>
      <c r="H28" s="90">
        <v>858.2</v>
      </c>
      <c r="I28" s="422">
        <v>858.2</v>
      </c>
      <c r="J28" s="203"/>
      <c r="K28" s="433">
        <f t="shared" si="1"/>
        <v>100</v>
      </c>
    </row>
    <row r="29" spans="1:11" ht="36">
      <c r="A29" s="92" t="s">
        <v>294</v>
      </c>
      <c r="B29" s="82" t="s">
        <v>1776</v>
      </c>
      <c r="C29" s="85" t="s">
        <v>584</v>
      </c>
      <c r="D29" s="85" t="s">
        <v>141</v>
      </c>
      <c r="E29" s="85" t="s">
        <v>1049</v>
      </c>
      <c r="F29" s="89" t="s">
        <v>742</v>
      </c>
      <c r="G29" s="90"/>
      <c r="H29" s="90">
        <f>475+286.4</f>
        <v>761.4</v>
      </c>
      <c r="I29" s="422">
        <v>761.4</v>
      </c>
      <c r="J29" s="203"/>
      <c r="K29" s="433">
        <f t="shared" si="1"/>
        <v>100</v>
      </c>
    </row>
    <row r="30" spans="1:11" ht="15.75" hidden="1">
      <c r="A30" s="87" t="s">
        <v>295</v>
      </c>
      <c r="B30" s="82" t="s">
        <v>1776</v>
      </c>
      <c r="C30" s="85" t="s">
        <v>584</v>
      </c>
      <c r="D30" s="85" t="s">
        <v>141</v>
      </c>
      <c r="E30" s="85" t="s">
        <v>1049</v>
      </c>
      <c r="F30" s="89" t="s">
        <v>296</v>
      </c>
      <c r="G30" s="90">
        <f>G31+G32+G33</f>
        <v>0</v>
      </c>
      <c r="H30" s="90">
        <f>H31+H32+H33</f>
        <v>0</v>
      </c>
      <c r="I30" s="422"/>
      <c r="J30" s="203" t="e">
        <f aca="true" t="shared" si="2" ref="J30:J35">I30/G30*100</f>
        <v>#DIV/0!</v>
      </c>
      <c r="K30" s="433" t="e">
        <f t="shared" si="1"/>
        <v>#DIV/0!</v>
      </c>
    </row>
    <row r="31" spans="1:11" ht="36" hidden="1">
      <c r="A31" s="92" t="s">
        <v>820</v>
      </c>
      <c r="B31" s="82" t="s">
        <v>1776</v>
      </c>
      <c r="C31" s="85" t="s">
        <v>584</v>
      </c>
      <c r="D31" s="85" t="s">
        <v>141</v>
      </c>
      <c r="E31" s="85" t="s">
        <v>1049</v>
      </c>
      <c r="F31" s="89" t="s">
        <v>801</v>
      </c>
      <c r="G31" s="90">
        <f>858.2-858.2</f>
        <v>0</v>
      </c>
      <c r="H31" s="90">
        <f>858.2-858.2</f>
        <v>0</v>
      </c>
      <c r="I31" s="422"/>
      <c r="J31" s="203" t="e">
        <f t="shared" si="2"/>
        <v>#DIV/0!</v>
      </c>
      <c r="K31" s="433" t="e">
        <f t="shared" si="1"/>
        <v>#DIV/0!</v>
      </c>
    </row>
    <row r="32" spans="1:11" ht="36" hidden="1">
      <c r="A32" s="92" t="s">
        <v>1418</v>
      </c>
      <c r="B32" s="82" t="s">
        <v>1776</v>
      </c>
      <c r="C32" s="85" t="s">
        <v>584</v>
      </c>
      <c r="D32" s="85" t="s">
        <v>141</v>
      </c>
      <c r="E32" s="85" t="s">
        <v>1049</v>
      </c>
      <c r="F32" s="89" t="s">
        <v>801</v>
      </c>
      <c r="G32" s="90"/>
      <c r="H32" s="90"/>
      <c r="I32" s="422"/>
      <c r="J32" s="203" t="e">
        <f t="shared" si="2"/>
        <v>#DIV/0!</v>
      </c>
      <c r="K32" s="433" t="e">
        <f t="shared" si="1"/>
        <v>#DIV/0!</v>
      </c>
    </row>
    <row r="33" spans="1:11" ht="36" hidden="1">
      <c r="A33" s="92" t="s">
        <v>297</v>
      </c>
      <c r="B33" s="82" t="s">
        <v>1776</v>
      </c>
      <c r="C33" s="85" t="s">
        <v>584</v>
      </c>
      <c r="D33" s="85" t="s">
        <v>141</v>
      </c>
      <c r="E33" s="85" t="s">
        <v>1049</v>
      </c>
      <c r="F33" s="89" t="s">
        <v>801</v>
      </c>
      <c r="G33" s="90">
        <f>475+286.4-475-286.4</f>
        <v>0</v>
      </c>
      <c r="H33" s="90">
        <f>475+286.4-475-286.4</f>
        <v>0</v>
      </c>
      <c r="I33" s="422"/>
      <c r="J33" s="203" t="e">
        <f t="shared" si="2"/>
        <v>#DIV/0!</v>
      </c>
      <c r="K33" s="433" t="e">
        <f t="shared" si="1"/>
        <v>#DIV/0!</v>
      </c>
    </row>
    <row r="34" spans="1:11" ht="24">
      <c r="A34" s="93" t="s">
        <v>1394</v>
      </c>
      <c r="B34" s="82" t="s">
        <v>1776</v>
      </c>
      <c r="C34" s="85" t="s">
        <v>584</v>
      </c>
      <c r="D34" s="85" t="s">
        <v>141</v>
      </c>
      <c r="E34" s="85" t="s">
        <v>1395</v>
      </c>
      <c r="F34" s="89"/>
      <c r="G34" s="90">
        <f>G35</f>
        <v>397015</v>
      </c>
      <c r="H34" s="90">
        <f>H35</f>
        <v>346386.1</v>
      </c>
      <c r="I34" s="422">
        <f>I35</f>
        <v>344787.7</v>
      </c>
      <c r="J34" s="203">
        <f t="shared" si="2"/>
        <v>86.84500585620191</v>
      </c>
      <c r="K34" s="433">
        <f t="shared" si="1"/>
        <v>99.53854961270098</v>
      </c>
    </row>
    <row r="35" spans="1:11" ht="21" customHeight="1">
      <c r="A35" s="87" t="s">
        <v>661</v>
      </c>
      <c r="B35" s="82" t="s">
        <v>1776</v>
      </c>
      <c r="C35" s="85" t="s">
        <v>584</v>
      </c>
      <c r="D35" s="85" t="s">
        <v>141</v>
      </c>
      <c r="E35" s="85" t="s">
        <v>1050</v>
      </c>
      <c r="F35" s="85" t="s">
        <v>1071</v>
      </c>
      <c r="G35" s="90">
        <f>G36+G37+G38+G43</f>
        <v>397015</v>
      </c>
      <c r="H35" s="90">
        <f>H36+H37+H38+H43</f>
        <v>346386.1</v>
      </c>
      <c r="I35" s="422">
        <f>I36+I37+I38+I43</f>
        <v>344787.7</v>
      </c>
      <c r="J35" s="203">
        <f t="shared" si="2"/>
        <v>86.84500585620191</v>
      </c>
      <c r="K35" s="433">
        <f t="shared" si="1"/>
        <v>99.53854961270098</v>
      </c>
    </row>
    <row r="36" spans="1:11" ht="16.5" customHeight="1">
      <c r="A36" s="348" t="s">
        <v>89</v>
      </c>
      <c r="B36" s="82" t="s">
        <v>1776</v>
      </c>
      <c r="C36" s="85" t="s">
        <v>584</v>
      </c>
      <c r="D36" s="85" t="s">
        <v>141</v>
      </c>
      <c r="E36" s="85" t="s">
        <v>1050</v>
      </c>
      <c r="F36" s="85" t="s">
        <v>90</v>
      </c>
      <c r="G36" s="90"/>
      <c r="H36" s="90">
        <v>20</v>
      </c>
      <c r="I36" s="422"/>
      <c r="J36" s="203"/>
      <c r="K36" s="433">
        <f t="shared" si="1"/>
        <v>0</v>
      </c>
    </row>
    <row r="37" spans="1:11" ht="21.75" customHeight="1">
      <c r="A37" s="95" t="s">
        <v>298</v>
      </c>
      <c r="B37" s="82" t="s">
        <v>1776</v>
      </c>
      <c r="C37" s="85" t="s">
        <v>584</v>
      </c>
      <c r="D37" s="85" t="s">
        <v>141</v>
      </c>
      <c r="E37" s="85" t="s">
        <v>1050</v>
      </c>
      <c r="F37" s="85" t="s">
        <v>742</v>
      </c>
      <c r="G37" s="90"/>
      <c r="H37" s="90">
        <v>265</v>
      </c>
      <c r="I37" s="422">
        <v>265</v>
      </c>
      <c r="J37" s="203"/>
      <c r="K37" s="433">
        <f t="shared" si="1"/>
        <v>100</v>
      </c>
    </row>
    <row r="38" spans="1:11" ht="24">
      <c r="A38" s="87" t="s">
        <v>743</v>
      </c>
      <c r="B38" s="82" t="s">
        <v>1776</v>
      </c>
      <c r="C38" s="85" t="s">
        <v>584</v>
      </c>
      <c r="D38" s="85" t="s">
        <v>141</v>
      </c>
      <c r="E38" s="85" t="s">
        <v>1050</v>
      </c>
      <c r="F38" s="85" t="s">
        <v>744</v>
      </c>
      <c r="G38" s="90">
        <f>G39+G40</f>
        <v>11917</v>
      </c>
      <c r="H38" s="90">
        <f>H39+H40</f>
        <v>22239.3</v>
      </c>
      <c r="I38" s="422">
        <f>I39+I40</f>
        <v>22128.7</v>
      </c>
      <c r="J38" s="203">
        <f>I38/G38*100</f>
        <v>185.69019048418227</v>
      </c>
      <c r="K38" s="433">
        <f t="shared" si="1"/>
        <v>99.50268218873795</v>
      </c>
    </row>
    <row r="39" spans="1:11" ht="24">
      <c r="A39" s="87" t="s">
        <v>745</v>
      </c>
      <c r="B39" s="82" t="s">
        <v>1776</v>
      </c>
      <c r="C39" s="85" t="s">
        <v>584</v>
      </c>
      <c r="D39" s="85" t="s">
        <v>141</v>
      </c>
      <c r="E39" s="85" t="s">
        <v>1050</v>
      </c>
      <c r="F39" s="85" t="s">
        <v>746</v>
      </c>
      <c r="G39" s="90">
        <v>11917</v>
      </c>
      <c r="H39" s="90">
        <f>10573.6+3522+10+2319-2878+28</f>
        <v>13574.599999999999</v>
      </c>
      <c r="I39" s="422">
        <v>13464</v>
      </c>
      <c r="J39" s="203">
        <f>I39/G39*100</f>
        <v>112.98145506419401</v>
      </c>
      <c r="K39" s="433">
        <f t="shared" si="1"/>
        <v>99.18524302741886</v>
      </c>
    </row>
    <row r="40" spans="1:11" ht="24">
      <c r="A40" s="87" t="s">
        <v>561</v>
      </c>
      <c r="B40" s="82" t="s">
        <v>1776</v>
      </c>
      <c r="C40" s="85" t="s">
        <v>584</v>
      </c>
      <c r="D40" s="85" t="s">
        <v>141</v>
      </c>
      <c r="E40" s="85" t="s">
        <v>1050</v>
      </c>
      <c r="F40" s="85" t="s">
        <v>1637</v>
      </c>
      <c r="G40" s="90">
        <f>G41+G42</f>
        <v>0</v>
      </c>
      <c r="H40" s="90">
        <f>H41+H42</f>
        <v>8664.7</v>
      </c>
      <c r="I40" s="422">
        <f>I41+I42</f>
        <v>8664.7</v>
      </c>
      <c r="J40" s="203"/>
      <c r="K40" s="433">
        <f t="shared" si="1"/>
        <v>100</v>
      </c>
    </row>
    <row r="41" spans="1:11" ht="36">
      <c r="A41" s="87" t="s">
        <v>300</v>
      </c>
      <c r="B41" s="82" t="s">
        <v>1776</v>
      </c>
      <c r="C41" s="85" t="s">
        <v>584</v>
      </c>
      <c r="D41" s="85" t="s">
        <v>141</v>
      </c>
      <c r="E41" s="85" t="s">
        <v>1050</v>
      </c>
      <c r="F41" s="85" t="s">
        <v>1637</v>
      </c>
      <c r="G41" s="90"/>
      <c r="H41" s="90">
        <v>99</v>
      </c>
      <c r="I41" s="422">
        <v>99</v>
      </c>
      <c r="J41" s="203"/>
      <c r="K41" s="433">
        <f t="shared" si="1"/>
        <v>100</v>
      </c>
    </row>
    <row r="42" spans="1:11" ht="36">
      <c r="A42" s="87" t="s">
        <v>301</v>
      </c>
      <c r="B42" s="82" t="s">
        <v>1776</v>
      </c>
      <c r="C42" s="85" t="s">
        <v>584</v>
      </c>
      <c r="D42" s="85" t="s">
        <v>141</v>
      </c>
      <c r="E42" s="85" t="s">
        <v>1050</v>
      </c>
      <c r="F42" s="85" t="s">
        <v>1637</v>
      </c>
      <c r="G42" s="90"/>
      <c r="H42" s="90">
        <v>8565.7</v>
      </c>
      <c r="I42" s="422">
        <v>8565.7</v>
      </c>
      <c r="J42" s="203"/>
      <c r="K42" s="433">
        <f t="shared" si="1"/>
        <v>100</v>
      </c>
    </row>
    <row r="43" spans="1:11" ht="24">
      <c r="A43" s="87" t="s">
        <v>295</v>
      </c>
      <c r="B43" s="82" t="s">
        <v>1776</v>
      </c>
      <c r="C43" s="85" t="s">
        <v>584</v>
      </c>
      <c r="D43" s="85" t="s">
        <v>141</v>
      </c>
      <c r="E43" s="85" t="s">
        <v>1050</v>
      </c>
      <c r="F43" s="85" t="s">
        <v>296</v>
      </c>
      <c r="G43" s="90">
        <f>G44+G45</f>
        <v>385098</v>
      </c>
      <c r="H43" s="90">
        <f>H44+H45</f>
        <v>323861.8</v>
      </c>
      <c r="I43" s="422">
        <f>I44+I45</f>
        <v>322394</v>
      </c>
      <c r="J43" s="203">
        <f>I43/G43*100</f>
        <v>83.71739141724963</v>
      </c>
      <c r="K43" s="433">
        <f t="shared" si="1"/>
        <v>99.54678199157789</v>
      </c>
    </row>
    <row r="44" spans="1:11" ht="24">
      <c r="A44" s="87" t="s">
        <v>303</v>
      </c>
      <c r="B44" s="82" t="s">
        <v>1776</v>
      </c>
      <c r="C44" s="85" t="s">
        <v>584</v>
      </c>
      <c r="D44" s="85" t="s">
        <v>141</v>
      </c>
      <c r="E44" s="85" t="s">
        <v>1050</v>
      </c>
      <c r="F44" s="85" t="s">
        <v>304</v>
      </c>
      <c r="G44" s="90">
        <v>385098</v>
      </c>
      <c r="H44" s="90">
        <f>308060.1+320+720+4378</f>
        <v>313478.1</v>
      </c>
      <c r="I44" s="422">
        <v>312010.5</v>
      </c>
      <c r="J44" s="203">
        <f>I44/G44*100</f>
        <v>81.0210647679292</v>
      </c>
      <c r="K44" s="433">
        <f t="shared" si="1"/>
        <v>99.53183332424179</v>
      </c>
    </row>
    <row r="45" spans="1:11" ht="24">
      <c r="A45" s="87" t="s">
        <v>1745</v>
      </c>
      <c r="B45" s="82" t="s">
        <v>1776</v>
      </c>
      <c r="C45" s="85" t="s">
        <v>584</v>
      </c>
      <c r="D45" s="85" t="s">
        <v>141</v>
      </c>
      <c r="E45" s="85" t="s">
        <v>1050</v>
      </c>
      <c r="F45" s="85" t="s">
        <v>801</v>
      </c>
      <c r="G45" s="90">
        <f>G46+G47</f>
        <v>0</v>
      </c>
      <c r="H45" s="90">
        <f>H46+H47+H48</f>
        <v>10383.7</v>
      </c>
      <c r="I45" s="422">
        <f>I46+I47+I48</f>
        <v>10383.5</v>
      </c>
      <c r="J45" s="203"/>
      <c r="K45" s="433">
        <f t="shared" si="1"/>
        <v>99.9980739042923</v>
      </c>
    </row>
    <row r="46" spans="1:11" ht="24">
      <c r="A46" s="92" t="s">
        <v>1746</v>
      </c>
      <c r="B46" s="82" t="s">
        <v>1776</v>
      </c>
      <c r="C46" s="85" t="s">
        <v>584</v>
      </c>
      <c r="D46" s="85" t="s">
        <v>141</v>
      </c>
      <c r="E46" s="85" t="s">
        <v>1050</v>
      </c>
      <c r="F46" s="85" t="s">
        <v>801</v>
      </c>
      <c r="G46" s="90"/>
      <c r="H46" s="90">
        <v>3651</v>
      </c>
      <c r="I46" s="424">
        <v>3651</v>
      </c>
      <c r="J46" s="203"/>
      <c r="K46" s="433">
        <f t="shared" si="1"/>
        <v>100</v>
      </c>
    </row>
    <row r="47" spans="1:11" ht="24">
      <c r="A47" s="92" t="s">
        <v>307</v>
      </c>
      <c r="B47" s="82" t="s">
        <v>1776</v>
      </c>
      <c r="C47" s="85" t="s">
        <v>584</v>
      </c>
      <c r="D47" s="85" t="s">
        <v>141</v>
      </c>
      <c r="E47" s="85" t="s">
        <v>1050</v>
      </c>
      <c r="F47" s="85" t="s">
        <v>801</v>
      </c>
      <c r="G47" s="90"/>
      <c r="H47" s="90">
        <f>6950-3132.7+2867.7</f>
        <v>6685</v>
      </c>
      <c r="I47" s="422">
        <v>6685</v>
      </c>
      <c r="J47" s="203"/>
      <c r="K47" s="433">
        <f t="shared" si="1"/>
        <v>100</v>
      </c>
    </row>
    <row r="48" spans="1:11" ht="24">
      <c r="A48" s="92" t="s">
        <v>1344</v>
      </c>
      <c r="B48" s="82" t="s">
        <v>1776</v>
      </c>
      <c r="C48" s="85" t="s">
        <v>584</v>
      </c>
      <c r="D48" s="85" t="s">
        <v>141</v>
      </c>
      <c r="E48" s="85" t="s">
        <v>1050</v>
      </c>
      <c r="F48" s="85" t="s">
        <v>801</v>
      </c>
      <c r="G48" s="90"/>
      <c r="H48" s="90">
        <v>47.7</v>
      </c>
      <c r="I48" s="422">
        <v>47.5</v>
      </c>
      <c r="J48" s="203"/>
      <c r="K48" s="433">
        <f t="shared" si="1"/>
        <v>99.58071278825994</v>
      </c>
    </row>
    <row r="49" spans="1:11" ht="24">
      <c r="A49" s="86" t="s">
        <v>854</v>
      </c>
      <c r="B49" s="82" t="s">
        <v>1776</v>
      </c>
      <c r="C49" s="85" t="s">
        <v>584</v>
      </c>
      <c r="D49" s="85" t="s">
        <v>141</v>
      </c>
      <c r="E49" s="85" t="s">
        <v>855</v>
      </c>
      <c r="F49" s="85"/>
      <c r="G49" s="90">
        <f>G50+G53+G57</f>
        <v>0</v>
      </c>
      <c r="H49" s="90">
        <f>H50+H53+H57</f>
        <v>55148</v>
      </c>
      <c r="I49" s="422">
        <f>I50+I53+I57</f>
        <v>53826</v>
      </c>
      <c r="J49" s="203"/>
      <c r="K49" s="433">
        <f t="shared" si="1"/>
        <v>97.60281424530355</v>
      </c>
    </row>
    <row r="50" spans="1:11" ht="24">
      <c r="A50" s="92" t="s">
        <v>308</v>
      </c>
      <c r="B50" s="82" t="s">
        <v>1776</v>
      </c>
      <c r="C50" s="85" t="s">
        <v>584</v>
      </c>
      <c r="D50" s="85" t="s">
        <v>141</v>
      </c>
      <c r="E50" s="85" t="s">
        <v>309</v>
      </c>
      <c r="F50" s="85" t="s">
        <v>1071</v>
      </c>
      <c r="G50" s="90">
        <f>G51+G52</f>
        <v>0</v>
      </c>
      <c r="H50" s="90">
        <f>H51+H52</f>
        <v>6576</v>
      </c>
      <c r="I50" s="422">
        <f>I51+I52</f>
        <v>6576</v>
      </c>
      <c r="J50" s="203"/>
      <c r="K50" s="433">
        <f t="shared" si="1"/>
        <v>100</v>
      </c>
    </row>
    <row r="51" spans="1:11" ht="24">
      <c r="A51" s="87" t="s">
        <v>743</v>
      </c>
      <c r="B51" s="82" t="s">
        <v>1776</v>
      </c>
      <c r="C51" s="85" t="s">
        <v>584</v>
      </c>
      <c r="D51" s="85" t="s">
        <v>141</v>
      </c>
      <c r="E51" s="85" t="s">
        <v>309</v>
      </c>
      <c r="F51" s="85" t="s">
        <v>744</v>
      </c>
      <c r="G51" s="90"/>
      <c r="H51" s="90">
        <v>195</v>
      </c>
      <c r="I51" s="424">
        <v>195</v>
      </c>
      <c r="J51" s="203"/>
      <c r="K51" s="433">
        <f t="shared" si="1"/>
        <v>100</v>
      </c>
    </row>
    <row r="52" spans="1:11" ht="24">
      <c r="A52" s="87" t="s">
        <v>295</v>
      </c>
      <c r="B52" s="82" t="s">
        <v>1776</v>
      </c>
      <c r="C52" s="85" t="s">
        <v>584</v>
      </c>
      <c r="D52" s="85" t="s">
        <v>141</v>
      </c>
      <c r="E52" s="85" t="s">
        <v>309</v>
      </c>
      <c r="F52" s="85" t="s">
        <v>296</v>
      </c>
      <c r="G52" s="90"/>
      <c r="H52" s="90">
        <v>6381</v>
      </c>
      <c r="I52" s="424">
        <v>6381</v>
      </c>
      <c r="J52" s="203"/>
      <c r="K52" s="433">
        <f t="shared" si="1"/>
        <v>100</v>
      </c>
    </row>
    <row r="53" spans="1:11" ht="36">
      <c r="A53" s="87" t="s">
        <v>310</v>
      </c>
      <c r="B53" s="82" t="s">
        <v>1776</v>
      </c>
      <c r="C53" s="85" t="s">
        <v>584</v>
      </c>
      <c r="D53" s="85" t="s">
        <v>141</v>
      </c>
      <c r="E53" s="85" t="s">
        <v>844</v>
      </c>
      <c r="F53" s="85" t="s">
        <v>1071</v>
      </c>
      <c r="G53" s="90">
        <f>G54</f>
        <v>0</v>
      </c>
      <c r="H53" s="90">
        <f>H54</f>
        <v>48236</v>
      </c>
      <c r="I53" s="422">
        <f>I54</f>
        <v>47250</v>
      </c>
      <c r="J53" s="203"/>
      <c r="K53" s="433">
        <f t="shared" si="1"/>
        <v>97.95588357243552</v>
      </c>
    </row>
    <row r="54" spans="1:11" ht="24">
      <c r="A54" s="87" t="s">
        <v>845</v>
      </c>
      <c r="B54" s="82" t="s">
        <v>1776</v>
      </c>
      <c r="C54" s="85" t="s">
        <v>584</v>
      </c>
      <c r="D54" s="85" t="s">
        <v>141</v>
      </c>
      <c r="E54" s="85" t="s">
        <v>846</v>
      </c>
      <c r="F54" s="85" t="s">
        <v>1071</v>
      </c>
      <c r="G54" s="90">
        <f>G55+G56</f>
        <v>0</v>
      </c>
      <c r="H54" s="90">
        <f>H55+H56</f>
        <v>48236</v>
      </c>
      <c r="I54" s="422">
        <f>I55+I56</f>
        <v>47250</v>
      </c>
      <c r="J54" s="203"/>
      <c r="K54" s="433">
        <f t="shared" si="1"/>
        <v>97.95588357243552</v>
      </c>
    </row>
    <row r="55" spans="1:11" ht="36">
      <c r="A55" s="87" t="s">
        <v>847</v>
      </c>
      <c r="B55" s="82" t="s">
        <v>1776</v>
      </c>
      <c r="C55" s="85" t="s">
        <v>584</v>
      </c>
      <c r="D55" s="85" t="s">
        <v>141</v>
      </c>
      <c r="E55" s="85" t="s">
        <v>846</v>
      </c>
      <c r="F55" s="85" t="s">
        <v>742</v>
      </c>
      <c r="G55" s="90"/>
      <c r="H55" s="90">
        <v>47250</v>
      </c>
      <c r="I55" s="422">
        <v>47250</v>
      </c>
      <c r="J55" s="203"/>
      <c r="K55" s="433">
        <f t="shared" si="1"/>
        <v>100</v>
      </c>
    </row>
    <row r="56" spans="1:11" ht="60">
      <c r="A56" s="278" t="s">
        <v>1694</v>
      </c>
      <c r="B56" s="82" t="s">
        <v>1776</v>
      </c>
      <c r="C56" s="85" t="s">
        <v>584</v>
      </c>
      <c r="D56" s="85" t="s">
        <v>141</v>
      </c>
      <c r="E56" s="85" t="s">
        <v>846</v>
      </c>
      <c r="F56" s="85" t="s">
        <v>742</v>
      </c>
      <c r="G56" s="90"/>
      <c r="H56" s="90">
        <v>986</v>
      </c>
      <c r="I56" s="422"/>
      <c r="J56" s="203"/>
      <c r="K56" s="433">
        <f t="shared" si="1"/>
        <v>0</v>
      </c>
    </row>
    <row r="57" spans="1:11" ht="24">
      <c r="A57" s="87" t="s">
        <v>1695</v>
      </c>
      <c r="B57" s="82" t="s">
        <v>1776</v>
      </c>
      <c r="C57" s="85" t="s">
        <v>584</v>
      </c>
      <c r="D57" s="85" t="s">
        <v>141</v>
      </c>
      <c r="E57" s="85" t="s">
        <v>1696</v>
      </c>
      <c r="F57" s="85" t="s">
        <v>1071</v>
      </c>
      <c r="G57" s="90">
        <f>G58</f>
        <v>0</v>
      </c>
      <c r="H57" s="90">
        <f>H58</f>
        <v>336</v>
      </c>
      <c r="I57" s="422">
        <f>I58</f>
        <v>0</v>
      </c>
      <c r="J57" s="203"/>
      <c r="K57" s="433">
        <f t="shared" si="1"/>
        <v>0</v>
      </c>
    </row>
    <row r="58" spans="1:11" ht="24">
      <c r="A58" s="87" t="s">
        <v>89</v>
      </c>
      <c r="B58" s="82" t="s">
        <v>1776</v>
      </c>
      <c r="C58" s="85" t="s">
        <v>584</v>
      </c>
      <c r="D58" s="85" t="s">
        <v>141</v>
      </c>
      <c r="E58" s="85" t="s">
        <v>1696</v>
      </c>
      <c r="F58" s="85" t="s">
        <v>90</v>
      </c>
      <c r="G58" s="90"/>
      <c r="H58" s="90">
        <v>336</v>
      </c>
      <c r="I58" s="422"/>
      <c r="J58" s="203"/>
      <c r="K58" s="433">
        <f t="shared" si="1"/>
        <v>0</v>
      </c>
    </row>
    <row r="59" spans="1:11" ht="24">
      <c r="A59" s="86" t="s">
        <v>909</v>
      </c>
      <c r="B59" s="82" t="s">
        <v>1776</v>
      </c>
      <c r="C59" s="85" t="s">
        <v>584</v>
      </c>
      <c r="D59" s="85" t="s">
        <v>141</v>
      </c>
      <c r="E59" s="85" t="s">
        <v>910</v>
      </c>
      <c r="F59" s="85"/>
      <c r="G59" s="90">
        <f>G60+G75+G78</f>
        <v>551</v>
      </c>
      <c r="H59" s="90">
        <f>H60+H75+H78</f>
        <v>116566.49999999999</v>
      </c>
      <c r="I59" s="422">
        <f>I60+I75+I78</f>
        <v>113283.2</v>
      </c>
      <c r="J59" s="421" t="s">
        <v>1212</v>
      </c>
      <c r="K59" s="433">
        <f t="shared" si="1"/>
        <v>97.18332454006942</v>
      </c>
    </row>
    <row r="60" spans="1:11" ht="24">
      <c r="A60" s="87" t="s">
        <v>1697</v>
      </c>
      <c r="B60" s="82" t="s">
        <v>1776</v>
      </c>
      <c r="C60" s="83" t="s">
        <v>584</v>
      </c>
      <c r="D60" s="83" t="s">
        <v>141</v>
      </c>
      <c r="E60" s="83" t="s">
        <v>1698</v>
      </c>
      <c r="F60" s="83" t="s">
        <v>1071</v>
      </c>
      <c r="G60" s="90">
        <f>G61+G62+G65+G69</f>
        <v>0</v>
      </c>
      <c r="H60" s="90">
        <f>H61+H62+H65+H69</f>
        <v>114393.09999999999</v>
      </c>
      <c r="I60" s="422">
        <f>I61+I62+I65+I69</f>
        <v>111324.2</v>
      </c>
      <c r="J60" s="203"/>
      <c r="K60" s="433">
        <f t="shared" si="1"/>
        <v>97.3172332946655</v>
      </c>
    </row>
    <row r="61" spans="1:11" ht="24">
      <c r="A61" s="95" t="s">
        <v>298</v>
      </c>
      <c r="B61" s="82" t="s">
        <v>1776</v>
      </c>
      <c r="C61" s="83" t="s">
        <v>584</v>
      </c>
      <c r="D61" s="83" t="s">
        <v>141</v>
      </c>
      <c r="E61" s="83" t="s">
        <v>1698</v>
      </c>
      <c r="F61" s="83" t="s">
        <v>742</v>
      </c>
      <c r="G61" s="90"/>
      <c r="H61" s="90">
        <f>59.8+118</f>
        <v>177.8</v>
      </c>
      <c r="I61" s="422">
        <v>177.8</v>
      </c>
      <c r="J61" s="203"/>
      <c r="K61" s="433">
        <f t="shared" si="1"/>
        <v>100</v>
      </c>
    </row>
    <row r="62" spans="1:11" ht="25.5" customHeight="1">
      <c r="A62" s="95" t="s">
        <v>1699</v>
      </c>
      <c r="B62" s="82" t="s">
        <v>1776</v>
      </c>
      <c r="C62" s="83" t="s">
        <v>584</v>
      </c>
      <c r="D62" s="83" t="s">
        <v>141</v>
      </c>
      <c r="E62" s="83" t="s">
        <v>1698</v>
      </c>
      <c r="F62" s="83" t="s">
        <v>742</v>
      </c>
      <c r="G62" s="90"/>
      <c r="H62" s="90">
        <f>H63+H64</f>
        <v>21164</v>
      </c>
      <c r="I62" s="422">
        <f>I63+I64</f>
        <v>21164</v>
      </c>
      <c r="J62" s="203"/>
      <c r="K62" s="433">
        <f t="shared" si="1"/>
        <v>100</v>
      </c>
    </row>
    <row r="63" spans="1:11" ht="36">
      <c r="A63" s="95" t="s">
        <v>1747</v>
      </c>
      <c r="B63" s="82" t="s">
        <v>1776</v>
      </c>
      <c r="C63" s="83" t="s">
        <v>584</v>
      </c>
      <c r="D63" s="83" t="s">
        <v>141</v>
      </c>
      <c r="E63" s="83" t="s">
        <v>1698</v>
      </c>
      <c r="F63" s="83" t="s">
        <v>742</v>
      </c>
      <c r="G63" s="90"/>
      <c r="H63" s="90">
        <v>20250</v>
      </c>
      <c r="I63" s="422">
        <v>20250</v>
      </c>
      <c r="J63" s="203"/>
      <c r="K63" s="433">
        <f t="shared" si="1"/>
        <v>100</v>
      </c>
    </row>
    <row r="64" spans="1:11" ht="18.75" customHeight="1">
      <c r="A64" s="278" t="s">
        <v>823</v>
      </c>
      <c r="B64" s="82" t="s">
        <v>1776</v>
      </c>
      <c r="C64" s="83" t="s">
        <v>584</v>
      </c>
      <c r="D64" s="83" t="s">
        <v>141</v>
      </c>
      <c r="E64" s="83" t="s">
        <v>1698</v>
      </c>
      <c r="F64" s="83" t="s">
        <v>742</v>
      </c>
      <c r="G64" s="90"/>
      <c r="H64" s="90">
        <v>914</v>
      </c>
      <c r="I64" s="422">
        <v>914</v>
      </c>
      <c r="J64" s="203"/>
      <c r="K64" s="433">
        <f t="shared" si="1"/>
        <v>100</v>
      </c>
    </row>
    <row r="65" spans="1:11" ht="24">
      <c r="A65" s="87" t="s">
        <v>743</v>
      </c>
      <c r="B65" s="82" t="s">
        <v>1776</v>
      </c>
      <c r="C65" s="83" t="s">
        <v>584</v>
      </c>
      <c r="D65" s="83" t="s">
        <v>141</v>
      </c>
      <c r="E65" s="83" t="s">
        <v>1698</v>
      </c>
      <c r="F65" s="83" t="s">
        <v>744</v>
      </c>
      <c r="G65" s="90">
        <f>G66+G67</f>
        <v>0</v>
      </c>
      <c r="H65" s="90">
        <f>H66+H67</f>
        <v>6291.9000000000015</v>
      </c>
      <c r="I65" s="422">
        <f>I66+I67</f>
        <v>4573.5</v>
      </c>
      <c r="J65" s="203"/>
      <c r="K65" s="433">
        <f t="shared" si="1"/>
        <v>72.6886949887951</v>
      </c>
    </row>
    <row r="66" spans="1:11" ht="24">
      <c r="A66" s="87" t="s">
        <v>745</v>
      </c>
      <c r="B66" s="82" t="s">
        <v>1776</v>
      </c>
      <c r="C66" s="83" t="s">
        <v>584</v>
      </c>
      <c r="D66" s="83" t="s">
        <v>141</v>
      </c>
      <c r="E66" s="83" t="s">
        <v>1698</v>
      </c>
      <c r="F66" s="83" t="s">
        <v>746</v>
      </c>
      <c r="G66" s="90"/>
      <c r="H66" s="90">
        <f>1632+5799.7+975-452.4-3522+1408.8+10</f>
        <v>5851.100000000001</v>
      </c>
      <c r="I66" s="425">
        <v>4132.7</v>
      </c>
      <c r="J66" s="203"/>
      <c r="K66" s="433">
        <f t="shared" si="1"/>
        <v>70.63116337099005</v>
      </c>
    </row>
    <row r="67" spans="1:11" ht="24">
      <c r="A67" s="87" t="s">
        <v>1701</v>
      </c>
      <c r="B67" s="82" t="s">
        <v>1776</v>
      </c>
      <c r="C67" s="83" t="s">
        <v>584</v>
      </c>
      <c r="D67" s="83" t="s">
        <v>141</v>
      </c>
      <c r="E67" s="83" t="s">
        <v>1698</v>
      </c>
      <c r="F67" s="83" t="s">
        <v>1637</v>
      </c>
      <c r="G67" s="90">
        <f>G68</f>
        <v>0</v>
      </c>
      <c r="H67" s="90">
        <f>H68</f>
        <v>440.8</v>
      </c>
      <c r="I67" s="422">
        <f>I68</f>
        <v>440.8</v>
      </c>
      <c r="J67" s="203"/>
      <c r="K67" s="433">
        <f t="shared" si="1"/>
        <v>100</v>
      </c>
    </row>
    <row r="68" spans="1:11" ht="24" customHeight="1">
      <c r="A68" s="92" t="s">
        <v>1702</v>
      </c>
      <c r="B68" s="82" t="s">
        <v>1776</v>
      </c>
      <c r="C68" s="83" t="s">
        <v>584</v>
      </c>
      <c r="D68" s="83" t="s">
        <v>141</v>
      </c>
      <c r="E68" s="83" t="s">
        <v>1698</v>
      </c>
      <c r="F68" s="83" t="s">
        <v>1637</v>
      </c>
      <c r="G68" s="90"/>
      <c r="H68" s="90">
        <v>440.8</v>
      </c>
      <c r="I68" s="422">
        <v>440.8</v>
      </c>
      <c r="J68" s="203"/>
      <c r="K68" s="433">
        <f t="shared" si="1"/>
        <v>100</v>
      </c>
    </row>
    <row r="69" spans="1:11" ht="24">
      <c r="A69" s="87" t="s">
        <v>295</v>
      </c>
      <c r="B69" s="82" t="s">
        <v>1776</v>
      </c>
      <c r="C69" s="83" t="s">
        <v>584</v>
      </c>
      <c r="D69" s="83" t="s">
        <v>141</v>
      </c>
      <c r="E69" s="83" t="s">
        <v>1698</v>
      </c>
      <c r="F69" s="83" t="s">
        <v>296</v>
      </c>
      <c r="G69" s="90">
        <f>G70+G71</f>
        <v>0</v>
      </c>
      <c r="H69" s="90">
        <f>H70+H71</f>
        <v>86759.4</v>
      </c>
      <c r="I69" s="422">
        <f>I70+I71</f>
        <v>85408.9</v>
      </c>
      <c r="J69" s="203"/>
      <c r="K69" s="433">
        <f t="shared" si="1"/>
        <v>98.44339633515216</v>
      </c>
    </row>
    <row r="70" spans="1:11" ht="24">
      <c r="A70" s="87" t="s">
        <v>303</v>
      </c>
      <c r="B70" s="82" t="s">
        <v>1776</v>
      </c>
      <c r="C70" s="83" t="s">
        <v>584</v>
      </c>
      <c r="D70" s="83" t="s">
        <v>141</v>
      </c>
      <c r="E70" s="83" t="s">
        <v>1698</v>
      </c>
      <c r="F70" s="83" t="s">
        <v>304</v>
      </c>
      <c r="G70" s="90"/>
      <c r="H70" s="90">
        <f>77175-250</f>
        <v>76925</v>
      </c>
      <c r="I70" s="422">
        <v>75580.5</v>
      </c>
      <c r="J70" s="203"/>
      <c r="K70" s="433">
        <f t="shared" si="1"/>
        <v>98.25219369515762</v>
      </c>
    </row>
    <row r="71" spans="1:11" ht="24">
      <c r="A71" s="87" t="s">
        <v>673</v>
      </c>
      <c r="B71" s="82" t="s">
        <v>1776</v>
      </c>
      <c r="C71" s="83" t="s">
        <v>584</v>
      </c>
      <c r="D71" s="83" t="s">
        <v>141</v>
      </c>
      <c r="E71" s="83" t="s">
        <v>1698</v>
      </c>
      <c r="F71" s="83" t="s">
        <v>801</v>
      </c>
      <c r="G71" s="90">
        <f>G72+G73+G74</f>
        <v>0</v>
      </c>
      <c r="H71" s="90">
        <f>H72+H73+H74</f>
        <v>9834.4</v>
      </c>
      <c r="I71" s="422">
        <f>I72+I73+I74</f>
        <v>9828.4</v>
      </c>
      <c r="J71" s="203"/>
      <c r="K71" s="433">
        <f t="shared" si="1"/>
        <v>99.93898966891727</v>
      </c>
    </row>
    <row r="72" spans="1:11" ht="24">
      <c r="A72" s="92" t="s">
        <v>1705</v>
      </c>
      <c r="B72" s="82" t="s">
        <v>1776</v>
      </c>
      <c r="C72" s="83" t="s">
        <v>584</v>
      </c>
      <c r="D72" s="83" t="s">
        <v>141</v>
      </c>
      <c r="E72" s="83" t="s">
        <v>1698</v>
      </c>
      <c r="F72" s="83" t="s">
        <v>801</v>
      </c>
      <c r="G72" s="90"/>
      <c r="H72" s="90">
        <f>3174+100</f>
        <v>3274</v>
      </c>
      <c r="I72" s="423">
        <v>3268</v>
      </c>
      <c r="J72" s="203"/>
      <c r="K72" s="433">
        <f t="shared" si="1"/>
        <v>99.8167379352474</v>
      </c>
    </row>
    <row r="73" spans="1:11" ht="24">
      <c r="A73" s="92" t="s">
        <v>1706</v>
      </c>
      <c r="B73" s="82" t="s">
        <v>1776</v>
      </c>
      <c r="C73" s="83" t="s">
        <v>584</v>
      </c>
      <c r="D73" s="83" t="s">
        <v>141</v>
      </c>
      <c r="E73" s="83" t="s">
        <v>1698</v>
      </c>
      <c r="F73" s="83" t="s">
        <v>801</v>
      </c>
      <c r="G73" s="90"/>
      <c r="H73" s="90">
        <f>648.2+1022+45+145.5</f>
        <v>1860.7</v>
      </c>
      <c r="I73" s="423">
        <v>1860.7</v>
      </c>
      <c r="J73" s="203"/>
      <c r="K73" s="433">
        <f t="shared" si="1"/>
        <v>100</v>
      </c>
    </row>
    <row r="74" spans="1:11" ht="24">
      <c r="A74" s="92" t="s">
        <v>1702</v>
      </c>
      <c r="B74" s="82" t="s">
        <v>1776</v>
      </c>
      <c r="C74" s="83" t="s">
        <v>584</v>
      </c>
      <c r="D74" s="83" t="s">
        <v>141</v>
      </c>
      <c r="E74" s="83" t="s">
        <v>1698</v>
      </c>
      <c r="F74" s="83" t="s">
        <v>801</v>
      </c>
      <c r="G74" s="90"/>
      <c r="H74" s="90">
        <v>4699.7</v>
      </c>
      <c r="I74" s="423">
        <v>4699.7</v>
      </c>
      <c r="J74" s="203"/>
      <c r="K74" s="433">
        <f t="shared" si="1"/>
        <v>100</v>
      </c>
    </row>
    <row r="75" spans="1:11" ht="24">
      <c r="A75" s="87" t="s">
        <v>1156</v>
      </c>
      <c r="B75" s="82" t="s">
        <v>1776</v>
      </c>
      <c r="C75" s="83" t="s">
        <v>584</v>
      </c>
      <c r="D75" s="83" t="s">
        <v>141</v>
      </c>
      <c r="E75" s="83" t="s">
        <v>741</v>
      </c>
      <c r="F75" s="83" t="s">
        <v>1071</v>
      </c>
      <c r="G75" s="90">
        <f aca="true" t="shared" si="3" ref="G75:I76">G76</f>
        <v>551</v>
      </c>
      <c r="H75" s="90">
        <f t="shared" si="3"/>
        <v>551</v>
      </c>
      <c r="I75" s="422">
        <f t="shared" si="3"/>
        <v>336.6</v>
      </c>
      <c r="J75" s="203">
        <f>I75/G75*100</f>
        <v>61.08892921960073</v>
      </c>
      <c r="K75" s="433">
        <f t="shared" si="1"/>
        <v>61.08892921960073</v>
      </c>
    </row>
    <row r="76" spans="1:11" ht="24">
      <c r="A76" s="87" t="s">
        <v>295</v>
      </c>
      <c r="B76" s="82" t="s">
        <v>1776</v>
      </c>
      <c r="C76" s="83" t="s">
        <v>584</v>
      </c>
      <c r="D76" s="83" t="s">
        <v>141</v>
      </c>
      <c r="E76" s="83" t="s">
        <v>741</v>
      </c>
      <c r="F76" s="83" t="s">
        <v>296</v>
      </c>
      <c r="G76" s="90">
        <f t="shared" si="3"/>
        <v>551</v>
      </c>
      <c r="H76" s="90">
        <f t="shared" si="3"/>
        <v>551</v>
      </c>
      <c r="I76" s="422">
        <f t="shared" si="3"/>
        <v>336.6</v>
      </c>
      <c r="J76" s="203">
        <f aca="true" t="shared" si="4" ref="J76:J139">I76/G76*100</f>
        <v>61.08892921960073</v>
      </c>
      <c r="K76" s="433">
        <f aca="true" t="shared" si="5" ref="K76:K138">I76/H76*100</f>
        <v>61.08892921960073</v>
      </c>
    </row>
    <row r="77" spans="1:11" ht="24">
      <c r="A77" s="87" t="s">
        <v>303</v>
      </c>
      <c r="B77" s="82" t="s">
        <v>1776</v>
      </c>
      <c r="C77" s="83" t="s">
        <v>584</v>
      </c>
      <c r="D77" s="83" t="s">
        <v>141</v>
      </c>
      <c r="E77" s="83" t="s">
        <v>741</v>
      </c>
      <c r="F77" s="83" t="s">
        <v>304</v>
      </c>
      <c r="G77" s="90">
        <v>551</v>
      </c>
      <c r="H77" s="90">
        <v>551</v>
      </c>
      <c r="I77" s="423">
        <v>336.6</v>
      </c>
      <c r="J77" s="203">
        <f t="shared" si="4"/>
        <v>61.08892921960073</v>
      </c>
      <c r="K77" s="433">
        <f t="shared" si="5"/>
        <v>61.08892921960073</v>
      </c>
    </row>
    <row r="78" spans="1:11" ht="48">
      <c r="A78" s="87" t="s">
        <v>1708</v>
      </c>
      <c r="B78" s="82" t="s">
        <v>1776</v>
      </c>
      <c r="C78" s="83" t="s">
        <v>584</v>
      </c>
      <c r="D78" s="83" t="s">
        <v>141</v>
      </c>
      <c r="E78" s="83" t="s">
        <v>1709</v>
      </c>
      <c r="F78" s="83" t="s">
        <v>1071</v>
      </c>
      <c r="G78" s="90">
        <f>G79+G81</f>
        <v>0</v>
      </c>
      <c r="H78" s="90">
        <f>H79+H81</f>
        <v>1622.4</v>
      </c>
      <c r="I78" s="422">
        <f>I79+I81</f>
        <v>1622.4</v>
      </c>
      <c r="J78" s="203"/>
      <c r="K78" s="433">
        <f t="shared" si="5"/>
        <v>100</v>
      </c>
    </row>
    <row r="79" spans="1:11" ht="24">
      <c r="A79" s="87" t="s">
        <v>743</v>
      </c>
      <c r="B79" s="82" t="s">
        <v>1776</v>
      </c>
      <c r="C79" s="83" t="s">
        <v>584</v>
      </c>
      <c r="D79" s="83" t="s">
        <v>141</v>
      </c>
      <c r="E79" s="83" t="s">
        <v>1709</v>
      </c>
      <c r="F79" s="83" t="s">
        <v>744</v>
      </c>
      <c r="G79" s="90">
        <f>G80</f>
        <v>0</v>
      </c>
      <c r="H79" s="90">
        <f>H80</f>
        <v>692.4</v>
      </c>
      <c r="I79" s="422">
        <f>I80</f>
        <v>692.4</v>
      </c>
      <c r="J79" s="203"/>
      <c r="K79" s="433">
        <f t="shared" si="5"/>
        <v>100</v>
      </c>
    </row>
    <row r="80" spans="1:11" ht="24">
      <c r="A80" s="87" t="s">
        <v>745</v>
      </c>
      <c r="B80" s="82" t="s">
        <v>1776</v>
      </c>
      <c r="C80" s="83" t="s">
        <v>584</v>
      </c>
      <c r="D80" s="83" t="s">
        <v>141</v>
      </c>
      <c r="E80" s="83" t="s">
        <v>1709</v>
      </c>
      <c r="F80" s="83" t="s">
        <v>746</v>
      </c>
      <c r="G80" s="90"/>
      <c r="H80" s="90">
        <f>140+452.4+100</f>
        <v>692.4</v>
      </c>
      <c r="I80" s="423">
        <v>692.4</v>
      </c>
      <c r="J80" s="203"/>
      <c r="K80" s="433">
        <f t="shared" si="5"/>
        <v>100</v>
      </c>
    </row>
    <row r="81" spans="1:11" ht="24">
      <c r="A81" s="87" t="s">
        <v>295</v>
      </c>
      <c r="B81" s="82" t="s">
        <v>1776</v>
      </c>
      <c r="C81" s="83" t="s">
        <v>584</v>
      </c>
      <c r="D81" s="83" t="s">
        <v>141</v>
      </c>
      <c r="E81" s="83" t="s">
        <v>1709</v>
      </c>
      <c r="F81" s="83" t="s">
        <v>296</v>
      </c>
      <c r="G81" s="90">
        <f>G82</f>
        <v>0</v>
      </c>
      <c r="H81" s="90">
        <f>H82</f>
        <v>930</v>
      </c>
      <c r="I81" s="422">
        <f>I82</f>
        <v>930</v>
      </c>
      <c r="J81" s="203"/>
      <c r="K81" s="433">
        <f t="shared" si="5"/>
        <v>100</v>
      </c>
    </row>
    <row r="82" spans="1:11" ht="24">
      <c r="A82" s="87" t="s">
        <v>303</v>
      </c>
      <c r="B82" s="82" t="s">
        <v>1776</v>
      </c>
      <c r="C82" s="83" t="s">
        <v>584</v>
      </c>
      <c r="D82" s="83" t="s">
        <v>141</v>
      </c>
      <c r="E82" s="83" t="s">
        <v>1709</v>
      </c>
      <c r="F82" s="83" t="s">
        <v>304</v>
      </c>
      <c r="G82" s="90"/>
      <c r="H82" s="90">
        <v>930</v>
      </c>
      <c r="I82" s="424">
        <v>930</v>
      </c>
      <c r="J82" s="203"/>
      <c r="K82" s="433">
        <f t="shared" si="5"/>
        <v>100</v>
      </c>
    </row>
    <row r="83" spans="1:11" ht="15">
      <c r="A83" s="91" t="s">
        <v>1297</v>
      </c>
      <c r="B83" s="82" t="s">
        <v>1776</v>
      </c>
      <c r="C83" s="85" t="s">
        <v>584</v>
      </c>
      <c r="D83" s="85" t="s">
        <v>142</v>
      </c>
      <c r="E83" s="85"/>
      <c r="F83" s="85"/>
      <c r="G83" s="90">
        <f>G84+G89+G118+G124+G134+G108+G159+G145+G130</f>
        <v>893943</v>
      </c>
      <c r="H83" s="90">
        <f>H84+H89+H118+H124+H134+H108+H159+H145+H130</f>
        <v>962698.8999999999</v>
      </c>
      <c r="I83" s="422">
        <f>I84+I89+I118+I124+I134+I108+I159+I145+I130</f>
        <v>941559.2999999999</v>
      </c>
      <c r="J83" s="203">
        <f t="shared" si="4"/>
        <v>105.32654766579077</v>
      </c>
      <c r="K83" s="433">
        <f t="shared" si="5"/>
        <v>97.80413169683688</v>
      </c>
    </row>
    <row r="84" spans="1:11" ht="24">
      <c r="A84" s="94" t="s">
        <v>1393</v>
      </c>
      <c r="B84" s="82" t="s">
        <v>1776</v>
      </c>
      <c r="C84" s="85" t="s">
        <v>584</v>
      </c>
      <c r="D84" s="85" t="s">
        <v>142</v>
      </c>
      <c r="E84" s="85" t="s">
        <v>1049</v>
      </c>
      <c r="F84" s="85"/>
      <c r="G84" s="90">
        <f>G85</f>
        <v>0</v>
      </c>
      <c r="H84" s="90">
        <f>H85</f>
        <v>300</v>
      </c>
      <c r="I84" s="422">
        <f>I85</f>
        <v>300</v>
      </c>
      <c r="J84" s="203"/>
      <c r="K84" s="433">
        <f t="shared" si="5"/>
        <v>100</v>
      </c>
    </row>
    <row r="85" spans="1:11" ht="24">
      <c r="A85" s="95" t="s">
        <v>1748</v>
      </c>
      <c r="B85" s="82" t="s">
        <v>1776</v>
      </c>
      <c r="C85" s="85" t="s">
        <v>584</v>
      </c>
      <c r="D85" s="85" t="s">
        <v>142</v>
      </c>
      <c r="E85" s="85" t="s">
        <v>1049</v>
      </c>
      <c r="F85" s="85" t="s">
        <v>1071</v>
      </c>
      <c r="G85" s="90">
        <f>G86+G87+G88</f>
        <v>0</v>
      </c>
      <c r="H85" s="90">
        <f>H86+H87+H88</f>
        <v>300</v>
      </c>
      <c r="I85" s="422">
        <f>I86+I87+I88</f>
        <v>300</v>
      </c>
      <c r="J85" s="203"/>
      <c r="K85" s="433">
        <f t="shared" si="5"/>
        <v>100</v>
      </c>
    </row>
    <row r="86" spans="1:11" ht="48.75" hidden="1">
      <c r="A86" s="95" t="s">
        <v>1850</v>
      </c>
      <c r="B86" s="82" t="s">
        <v>1776</v>
      </c>
      <c r="C86" s="85" t="s">
        <v>584</v>
      </c>
      <c r="D86" s="85" t="s">
        <v>142</v>
      </c>
      <c r="E86" s="85" t="s">
        <v>1049</v>
      </c>
      <c r="F86" s="85" t="s">
        <v>1879</v>
      </c>
      <c r="G86" s="90"/>
      <c r="H86" s="90"/>
      <c r="I86" s="422"/>
      <c r="J86" s="203" t="e">
        <f t="shared" si="4"/>
        <v>#DIV/0!</v>
      </c>
      <c r="K86" s="433" t="e">
        <f t="shared" si="5"/>
        <v>#DIV/0!</v>
      </c>
    </row>
    <row r="87" spans="1:11" ht="36" hidden="1">
      <c r="A87" s="92" t="s">
        <v>1851</v>
      </c>
      <c r="B87" s="82" t="s">
        <v>1776</v>
      </c>
      <c r="C87" s="85" t="s">
        <v>584</v>
      </c>
      <c r="D87" s="85" t="s">
        <v>142</v>
      </c>
      <c r="E87" s="85" t="s">
        <v>1049</v>
      </c>
      <c r="F87" s="85" t="s">
        <v>926</v>
      </c>
      <c r="G87" s="90"/>
      <c r="H87" s="90"/>
      <c r="I87" s="422"/>
      <c r="J87" s="203" t="e">
        <f t="shared" si="4"/>
        <v>#DIV/0!</v>
      </c>
      <c r="K87" s="433" t="e">
        <f t="shared" si="5"/>
        <v>#DIV/0!</v>
      </c>
    </row>
    <row r="88" spans="1:11" ht="36">
      <c r="A88" s="95" t="s">
        <v>1711</v>
      </c>
      <c r="B88" s="82" t="s">
        <v>1776</v>
      </c>
      <c r="C88" s="85" t="s">
        <v>584</v>
      </c>
      <c r="D88" s="85" t="s">
        <v>142</v>
      </c>
      <c r="E88" s="85" t="s">
        <v>1049</v>
      </c>
      <c r="F88" s="85" t="s">
        <v>742</v>
      </c>
      <c r="G88" s="90"/>
      <c r="H88" s="90">
        <v>300</v>
      </c>
      <c r="I88" s="422">
        <v>300</v>
      </c>
      <c r="J88" s="203"/>
      <c r="K88" s="433">
        <f t="shared" si="5"/>
        <v>100</v>
      </c>
    </row>
    <row r="89" spans="1:11" ht="24">
      <c r="A89" s="93" t="s">
        <v>1396</v>
      </c>
      <c r="B89" s="82" t="s">
        <v>1776</v>
      </c>
      <c r="C89" s="85" t="s">
        <v>584</v>
      </c>
      <c r="D89" s="85" t="s">
        <v>142</v>
      </c>
      <c r="E89" s="85" t="s">
        <v>1397</v>
      </c>
      <c r="F89" s="85"/>
      <c r="G89" s="90">
        <f>SUM(G90+G93+G95+G98)</f>
        <v>739434</v>
      </c>
      <c r="H89" s="90">
        <f>SUM(H90+H93+H95+H98)</f>
        <v>639171.3999999999</v>
      </c>
      <c r="I89" s="422">
        <f>SUM(I90+I93+I95+I98)</f>
        <v>632320.4</v>
      </c>
      <c r="J89" s="203">
        <f t="shared" si="4"/>
        <v>85.51410944046393</v>
      </c>
      <c r="K89" s="433">
        <f t="shared" si="5"/>
        <v>98.92814353082758</v>
      </c>
    </row>
    <row r="90" spans="1:11" ht="120">
      <c r="A90" s="92" t="s">
        <v>1749</v>
      </c>
      <c r="B90" s="82" t="s">
        <v>1776</v>
      </c>
      <c r="C90" s="85" t="s">
        <v>584</v>
      </c>
      <c r="D90" s="85" t="s">
        <v>142</v>
      </c>
      <c r="E90" s="85" t="s">
        <v>865</v>
      </c>
      <c r="F90" s="85" t="s">
        <v>1071</v>
      </c>
      <c r="G90" s="90">
        <f>G91+G92</f>
        <v>0</v>
      </c>
      <c r="H90" s="90">
        <f>H91+H92</f>
        <v>608640.7</v>
      </c>
      <c r="I90" s="422">
        <f>I91+I92</f>
        <v>602469.1</v>
      </c>
      <c r="J90" s="203"/>
      <c r="K90" s="433">
        <f t="shared" si="5"/>
        <v>98.98600274349054</v>
      </c>
    </row>
    <row r="91" spans="1:11" ht="24">
      <c r="A91" s="87" t="s">
        <v>743</v>
      </c>
      <c r="B91" s="82" t="s">
        <v>1776</v>
      </c>
      <c r="C91" s="85" t="s">
        <v>584</v>
      </c>
      <c r="D91" s="85" t="s">
        <v>142</v>
      </c>
      <c r="E91" s="85" t="s">
        <v>865</v>
      </c>
      <c r="F91" s="85" t="s">
        <v>744</v>
      </c>
      <c r="G91" s="90"/>
      <c r="H91" s="90">
        <v>21339.6</v>
      </c>
      <c r="I91" s="422">
        <v>20516.4</v>
      </c>
      <c r="J91" s="203"/>
      <c r="K91" s="433">
        <f t="shared" si="5"/>
        <v>96.14238317494237</v>
      </c>
    </row>
    <row r="92" spans="1:11" ht="24">
      <c r="A92" s="87" t="s">
        <v>295</v>
      </c>
      <c r="B92" s="82" t="s">
        <v>1776</v>
      </c>
      <c r="C92" s="85" t="s">
        <v>584</v>
      </c>
      <c r="D92" s="85" t="s">
        <v>142</v>
      </c>
      <c r="E92" s="85" t="s">
        <v>865</v>
      </c>
      <c r="F92" s="85" t="s">
        <v>296</v>
      </c>
      <c r="G92" s="90"/>
      <c r="H92" s="90">
        <f>582014.9+1286.2+4000</f>
        <v>587301.1</v>
      </c>
      <c r="I92" s="422">
        <v>581952.7</v>
      </c>
      <c r="J92" s="203"/>
      <c r="K92" s="433">
        <f t="shared" si="5"/>
        <v>99.08932573087297</v>
      </c>
    </row>
    <row r="93" spans="1:11" ht="36">
      <c r="A93" s="92" t="s">
        <v>1750</v>
      </c>
      <c r="B93" s="82" t="s">
        <v>1776</v>
      </c>
      <c r="C93" s="85" t="s">
        <v>584</v>
      </c>
      <c r="D93" s="85" t="s">
        <v>142</v>
      </c>
      <c r="E93" s="85" t="s">
        <v>867</v>
      </c>
      <c r="F93" s="85" t="s">
        <v>1071</v>
      </c>
      <c r="G93" s="90">
        <f>G94</f>
        <v>0</v>
      </c>
      <c r="H93" s="90">
        <f>H94</f>
        <v>1235</v>
      </c>
      <c r="I93" s="422">
        <f>I94</f>
        <v>603.4</v>
      </c>
      <c r="J93" s="203"/>
      <c r="K93" s="433">
        <f t="shared" si="5"/>
        <v>48.858299595141695</v>
      </c>
    </row>
    <row r="94" spans="1:11" ht="24">
      <c r="A94" s="87" t="s">
        <v>1751</v>
      </c>
      <c r="B94" s="82" t="s">
        <v>1776</v>
      </c>
      <c r="C94" s="85" t="s">
        <v>584</v>
      </c>
      <c r="D94" s="85" t="s">
        <v>142</v>
      </c>
      <c r="E94" s="85" t="s">
        <v>867</v>
      </c>
      <c r="F94" s="85" t="s">
        <v>869</v>
      </c>
      <c r="G94" s="90"/>
      <c r="H94" s="90">
        <v>1235</v>
      </c>
      <c r="I94" s="422">
        <v>603.4</v>
      </c>
      <c r="J94" s="203"/>
      <c r="K94" s="433">
        <f t="shared" si="5"/>
        <v>48.858299595141695</v>
      </c>
    </row>
    <row r="95" spans="1:11" ht="48">
      <c r="A95" s="92" t="s">
        <v>870</v>
      </c>
      <c r="B95" s="82" t="s">
        <v>1776</v>
      </c>
      <c r="C95" s="85" t="s">
        <v>584</v>
      </c>
      <c r="D95" s="85" t="s">
        <v>142</v>
      </c>
      <c r="E95" s="85" t="s">
        <v>871</v>
      </c>
      <c r="F95" s="85" t="s">
        <v>1071</v>
      </c>
      <c r="G95" s="90">
        <f>G96+G97</f>
        <v>0</v>
      </c>
      <c r="H95" s="90">
        <f>H96+H97</f>
        <v>27940</v>
      </c>
      <c r="I95" s="422">
        <f>I96+I97</f>
        <v>27940</v>
      </c>
      <c r="J95" s="203"/>
      <c r="K95" s="433">
        <f t="shared" si="5"/>
        <v>100</v>
      </c>
    </row>
    <row r="96" spans="1:11" ht="24">
      <c r="A96" s="87" t="s">
        <v>743</v>
      </c>
      <c r="B96" s="82" t="s">
        <v>1776</v>
      </c>
      <c r="C96" s="85" t="s">
        <v>584</v>
      </c>
      <c r="D96" s="85" t="s">
        <v>142</v>
      </c>
      <c r="E96" s="85" t="s">
        <v>871</v>
      </c>
      <c r="F96" s="85" t="s">
        <v>744</v>
      </c>
      <c r="G96" s="90"/>
      <c r="H96" s="90">
        <f>243+20</f>
        <v>263</v>
      </c>
      <c r="I96" s="422">
        <v>263</v>
      </c>
      <c r="J96" s="203"/>
      <c r="K96" s="433">
        <f t="shared" si="5"/>
        <v>100</v>
      </c>
    </row>
    <row r="97" spans="1:11" ht="24">
      <c r="A97" s="87" t="s">
        <v>295</v>
      </c>
      <c r="B97" s="82" t="s">
        <v>1776</v>
      </c>
      <c r="C97" s="85" t="s">
        <v>584</v>
      </c>
      <c r="D97" s="85" t="s">
        <v>142</v>
      </c>
      <c r="E97" s="85" t="s">
        <v>871</v>
      </c>
      <c r="F97" s="85" t="s">
        <v>296</v>
      </c>
      <c r="G97" s="90"/>
      <c r="H97" s="90">
        <f>27697-20</f>
        <v>27677</v>
      </c>
      <c r="I97" s="422">
        <v>27677</v>
      </c>
      <c r="J97" s="203"/>
      <c r="K97" s="433">
        <f t="shared" si="5"/>
        <v>100</v>
      </c>
    </row>
    <row r="98" spans="1:11" ht="24">
      <c r="A98" s="87" t="s">
        <v>661</v>
      </c>
      <c r="B98" s="82" t="s">
        <v>1776</v>
      </c>
      <c r="C98" s="85" t="s">
        <v>584</v>
      </c>
      <c r="D98" s="85" t="s">
        <v>142</v>
      </c>
      <c r="E98" s="85" t="s">
        <v>1051</v>
      </c>
      <c r="F98" s="85" t="s">
        <v>1071</v>
      </c>
      <c r="G98" s="90">
        <f>G99+G100+G102</f>
        <v>739434</v>
      </c>
      <c r="H98" s="90">
        <f>H99+H100+H102</f>
        <v>1355.7</v>
      </c>
      <c r="I98" s="422">
        <f>I99+I100+I102</f>
        <v>1307.9</v>
      </c>
      <c r="J98" s="203">
        <f t="shared" si="4"/>
        <v>0.17687853141727322</v>
      </c>
      <c r="K98" s="433">
        <f t="shared" si="5"/>
        <v>96.47414619753634</v>
      </c>
    </row>
    <row r="99" spans="1:11" ht="15.75" hidden="1">
      <c r="A99" s="87" t="s">
        <v>925</v>
      </c>
      <c r="B99" s="82" t="s">
        <v>1776</v>
      </c>
      <c r="C99" s="85" t="s">
        <v>584</v>
      </c>
      <c r="D99" s="85" t="s">
        <v>142</v>
      </c>
      <c r="E99" s="85" t="s">
        <v>1051</v>
      </c>
      <c r="F99" s="85" t="s">
        <v>926</v>
      </c>
      <c r="G99" s="90"/>
      <c r="H99" s="90"/>
      <c r="I99" s="422"/>
      <c r="J99" s="203" t="e">
        <f t="shared" si="4"/>
        <v>#DIV/0!</v>
      </c>
      <c r="K99" s="433" t="e">
        <f t="shared" si="5"/>
        <v>#DIV/0!</v>
      </c>
    </row>
    <row r="100" spans="1:11" ht="24">
      <c r="A100" s="87" t="s">
        <v>743</v>
      </c>
      <c r="B100" s="82" t="s">
        <v>1776</v>
      </c>
      <c r="C100" s="85" t="s">
        <v>584</v>
      </c>
      <c r="D100" s="85" t="s">
        <v>142</v>
      </c>
      <c r="E100" s="85" t="s">
        <v>1051</v>
      </c>
      <c r="F100" s="85" t="s">
        <v>744</v>
      </c>
      <c r="G100" s="90">
        <f>G101</f>
        <v>28183</v>
      </c>
      <c r="H100" s="90">
        <f>H101</f>
        <v>0</v>
      </c>
      <c r="I100" s="422">
        <f>I101</f>
        <v>0</v>
      </c>
      <c r="J100" s="203">
        <f t="shared" si="4"/>
        <v>0</v>
      </c>
      <c r="K100" s="433"/>
    </row>
    <row r="101" spans="1:11" ht="24">
      <c r="A101" s="87" t="s">
        <v>745</v>
      </c>
      <c r="B101" s="82" t="s">
        <v>1776</v>
      </c>
      <c r="C101" s="85" t="s">
        <v>584</v>
      </c>
      <c r="D101" s="85" t="s">
        <v>142</v>
      </c>
      <c r="E101" s="85" t="s">
        <v>1051</v>
      </c>
      <c r="F101" s="85" t="s">
        <v>746</v>
      </c>
      <c r="G101" s="90">
        <v>28183</v>
      </c>
      <c r="H101" s="90">
        <v>0</v>
      </c>
      <c r="I101" s="422"/>
      <c r="J101" s="203">
        <f t="shared" si="4"/>
        <v>0</v>
      </c>
      <c r="K101" s="433"/>
    </row>
    <row r="102" spans="1:11" ht="24">
      <c r="A102" s="87" t="s">
        <v>295</v>
      </c>
      <c r="B102" s="82" t="s">
        <v>1776</v>
      </c>
      <c r="C102" s="85" t="s">
        <v>584</v>
      </c>
      <c r="D102" s="85" t="s">
        <v>142</v>
      </c>
      <c r="E102" s="85" t="s">
        <v>1051</v>
      </c>
      <c r="F102" s="85" t="s">
        <v>296</v>
      </c>
      <c r="G102" s="90">
        <f>G103+G104</f>
        <v>711251</v>
      </c>
      <c r="H102" s="90">
        <f>H103+H104</f>
        <v>1355.7</v>
      </c>
      <c r="I102" s="422">
        <f>I103+I104</f>
        <v>1307.9</v>
      </c>
      <c r="J102" s="203">
        <f t="shared" si="4"/>
        <v>0.18388726342739764</v>
      </c>
      <c r="K102" s="433">
        <f t="shared" si="5"/>
        <v>96.47414619753634</v>
      </c>
    </row>
    <row r="103" spans="1:11" ht="24">
      <c r="A103" s="87" t="s">
        <v>303</v>
      </c>
      <c r="B103" s="82" t="s">
        <v>1776</v>
      </c>
      <c r="C103" s="85" t="s">
        <v>584</v>
      </c>
      <c r="D103" s="85" t="s">
        <v>142</v>
      </c>
      <c r="E103" s="85" t="s">
        <v>1051</v>
      </c>
      <c r="F103" s="85" t="s">
        <v>304</v>
      </c>
      <c r="G103" s="90">
        <v>711251</v>
      </c>
      <c r="H103" s="90">
        <v>1001</v>
      </c>
      <c r="I103" s="422">
        <v>953.2</v>
      </c>
      <c r="J103" s="203">
        <f t="shared" si="4"/>
        <v>0.13401738626729526</v>
      </c>
      <c r="K103" s="433">
        <f t="shared" si="5"/>
        <v>95.22477522477523</v>
      </c>
    </row>
    <row r="104" spans="1:11" ht="24">
      <c r="A104" s="87" t="s">
        <v>305</v>
      </c>
      <c r="B104" s="82" t="s">
        <v>1776</v>
      </c>
      <c r="C104" s="85" t="s">
        <v>584</v>
      </c>
      <c r="D104" s="85" t="s">
        <v>142</v>
      </c>
      <c r="E104" s="85" t="s">
        <v>1051</v>
      </c>
      <c r="F104" s="85" t="s">
        <v>801</v>
      </c>
      <c r="G104" s="90">
        <f>G105+G106+G107</f>
        <v>0</v>
      </c>
      <c r="H104" s="90">
        <f>H105+H106+H107</f>
        <v>354.7</v>
      </c>
      <c r="I104" s="422">
        <f>I105+I106+I107</f>
        <v>354.7</v>
      </c>
      <c r="J104" s="203"/>
      <c r="K104" s="433">
        <f t="shared" si="5"/>
        <v>100</v>
      </c>
    </row>
    <row r="105" spans="1:11" ht="48">
      <c r="A105" s="87" t="s">
        <v>872</v>
      </c>
      <c r="B105" s="82" t="s">
        <v>1776</v>
      </c>
      <c r="C105" s="85" t="s">
        <v>584</v>
      </c>
      <c r="D105" s="85" t="s">
        <v>142</v>
      </c>
      <c r="E105" s="85" t="s">
        <v>1051</v>
      </c>
      <c r="F105" s="85" t="s">
        <v>801</v>
      </c>
      <c r="G105" s="90"/>
      <c r="H105" s="90">
        <v>36</v>
      </c>
      <c r="I105" s="422">
        <v>36</v>
      </c>
      <c r="J105" s="203"/>
      <c r="K105" s="433">
        <f t="shared" si="5"/>
        <v>100</v>
      </c>
    </row>
    <row r="106" spans="1:11" ht="36">
      <c r="A106" s="87" t="s">
        <v>873</v>
      </c>
      <c r="B106" s="82" t="s">
        <v>1776</v>
      </c>
      <c r="C106" s="85" t="s">
        <v>584</v>
      </c>
      <c r="D106" s="85" t="s">
        <v>142</v>
      </c>
      <c r="E106" s="85" t="s">
        <v>1051</v>
      </c>
      <c r="F106" s="85" t="s">
        <v>801</v>
      </c>
      <c r="G106" s="90"/>
      <c r="H106" s="90">
        <v>200</v>
      </c>
      <c r="I106" s="422">
        <v>200</v>
      </c>
      <c r="J106" s="203"/>
      <c r="K106" s="433">
        <f t="shared" si="5"/>
        <v>100</v>
      </c>
    </row>
    <row r="107" spans="1:11" ht="24">
      <c r="A107" s="87" t="s">
        <v>1641</v>
      </c>
      <c r="B107" s="82" t="s">
        <v>1776</v>
      </c>
      <c r="C107" s="85" t="s">
        <v>584</v>
      </c>
      <c r="D107" s="85" t="s">
        <v>142</v>
      </c>
      <c r="E107" s="85" t="s">
        <v>1051</v>
      </c>
      <c r="F107" s="85" t="s">
        <v>801</v>
      </c>
      <c r="G107" s="90"/>
      <c r="H107" s="90">
        <v>118.7</v>
      </c>
      <c r="I107" s="422">
        <v>118.7</v>
      </c>
      <c r="J107" s="203"/>
      <c r="K107" s="433">
        <f t="shared" si="5"/>
        <v>100</v>
      </c>
    </row>
    <row r="108" spans="1:11" ht="24">
      <c r="A108" s="93" t="s">
        <v>595</v>
      </c>
      <c r="B108" s="82" t="s">
        <v>1776</v>
      </c>
      <c r="C108" s="85" t="s">
        <v>584</v>
      </c>
      <c r="D108" s="85" t="s">
        <v>142</v>
      </c>
      <c r="E108" s="85" t="s">
        <v>1400</v>
      </c>
      <c r="F108" s="85"/>
      <c r="G108" s="90">
        <f>G109+G111+G113</f>
        <v>58881</v>
      </c>
      <c r="H108" s="90">
        <f>H109+H111+H113</f>
        <v>46584.5</v>
      </c>
      <c r="I108" s="422">
        <f>I109+I111+I113</f>
        <v>42649.5</v>
      </c>
      <c r="J108" s="203">
        <f t="shared" si="4"/>
        <v>72.43338258521425</v>
      </c>
      <c r="K108" s="433">
        <f t="shared" si="5"/>
        <v>91.55298436175123</v>
      </c>
    </row>
    <row r="109" spans="1:11" ht="120">
      <c r="A109" s="92" t="s">
        <v>1749</v>
      </c>
      <c r="B109" s="82" t="s">
        <v>1776</v>
      </c>
      <c r="C109" s="85" t="s">
        <v>584</v>
      </c>
      <c r="D109" s="85" t="s">
        <v>142</v>
      </c>
      <c r="E109" s="85" t="s">
        <v>874</v>
      </c>
      <c r="F109" s="85" t="s">
        <v>1071</v>
      </c>
      <c r="G109" s="90">
        <f>G110</f>
        <v>0</v>
      </c>
      <c r="H109" s="90">
        <f>H110</f>
        <v>43829.9</v>
      </c>
      <c r="I109" s="422">
        <f>I110</f>
        <v>40921.5</v>
      </c>
      <c r="J109" s="203"/>
      <c r="K109" s="433">
        <f t="shared" si="5"/>
        <v>93.36434716939806</v>
      </c>
    </row>
    <row r="110" spans="1:11" ht="24">
      <c r="A110" s="87" t="s">
        <v>743</v>
      </c>
      <c r="B110" s="82" t="s">
        <v>1776</v>
      </c>
      <c r="C110" s="85" t="s">
        <v>584</v>
      </c>
      <c r="D110" s="85" t="s">
        <v>142</v>
      </c>
      <c r="E110" s="85" t="s">
        <v>874</v>
      </c>
      <c r="F110" s="85" t="s">
        <v>744</v>
      </c>
      <c r="G110" s="90"/>
      <c r="H110" s="90">
        <v>43829.9</v>
      </c>
      <c r="I110" s="422">
        <v>40921.5</v>
      </c>
      <c r="J110" s="203"/>
      <c r="K110" s="433">
        <f t="shared" si="5"/>
        <v>93.36434716939806</v>
      </c>
    </row>
    <row r="111" spans="1:11" ht="48">
      <c r="A111" s="87" t="s">
        <v>875</v>
      </c>
      <c r="B111" s="82" t="s">
        <v>1776</v>
      </c>
      <c r="C111" s="85" t="s">
        <v>584</v>
      </c>
      <c r="D111" s="85" t="s">
        <v>142</v>
      </c>
      <c r="E111" s="85" t="s">
        <v>876</v>
      </c>
      <c r="F111" s="85" t="s">
        <v>1071</v>
      </c>
      <c r="G111" s="90">
        <f>G112</f>
        <v>0</v>
      </c>
      <c r="H111" s="90">
        <f>H112</f>
        <v>2754.6</v>
      </c>
      <c r="I111" s="422">
        <f>I112</f>
        <v>1728</v>
      </c>
      <c r="J111" s="203"/>
      <c r="K111" s="433">
        <f t="shared" si="5"/>
        <v>62.73143106077108</v>
      </c>
    </row>
    <row r="112" spans="1:11" ht="24">
      <c r="A112" s="87" t="s">
        <v>743</v>
      </c>
      <c r="B112" s="82" t="s">
        <v>1776</v>
      </c>
      <c r="C112" s="85" t="s">
        <v>584</v>
      </c>
      <c r="D112" s="85" t="s">
        <v>142</v>
      </c>
      <c r="E112" s="85" t="s">
        <v>876</v>
      </c>
      <c r="F112" s="85" t="s">
        <v>744</v>
      </c>
      <c r="G112" s="90"/>
      <c r="H112" s="90">
        <v>2754.6</v>
      </c>
      <c r="I112" s="422">
        <v>1728</v>
      </c>
      <c r="J112" s="203"/>
      <c r="K112" s="433">
        <f t="shared" si="5"/>
        <v>62.73143106077108</v>
      </c>
    </row>
    <row r="113" spans="1:11" ht="24">
      <c r="A113" s="87" t="s">
        <v>661</v>
      </c>
      <c r="B113" s="82" t="s">
        <v>1776</v>
      </c>
      <c r="C113" s="85" t="s">
        <v>584</v>
      </c>
      <c r="D113" s="85" t="s">
        <v>142</v>
      </c>
      <c r="E113" s="85" t="s">
        <v>1401</v>
      </c>
      <c r="F113" s="85" t="s">
        <v>1071</v>
      </c>
      <c r="G113" s="90">
        <f>G114+G116</f>
        <v>58881</v>
      </c>
      <c r="H113" s="90">
        <f>H114+H116</f>
        <v>0</v>
      </c>
      <c r="I113" s="422">
        <f>I114+I116</f>
        <v>0</v>
      </c>
      <c r="J113" s="203">
        <f t="shared" si="4"/>
        <v>0</v>
      </c>
      <c r="K113" s="433"/>
    </row>
    <row r="114" spans="1:11" ht="24">
      <c r="A114" s="87" t="s">
        <v>743</v>
      </c>
      <c r="B114" s="82" t="s">
        <v>1776</v>
      </c>
      <c r="C114" s="85" t="s">
        <v>584</v>
      </c>
      <c r="D114" s="85" t="s">
        <v>142</v>
      </c>
      <c r="E114" s="85" t="s">
        <v>1401</v>
      </c>
      <c r="F114" s="85" t="s">
        <v>744</v>
      </c>
      <c r="G114" s="90">
        <f>G115</f>
        <v>58881</v>
      </c>
      <c r="H114" s="90">
        <f>H115</f>
        <v>0</v>
      </c>
      <c r="I114" s="422">
        <f>I115</f>
        <v>0</v>
      </c>
      <c r="J114" s="203">
        <f t="shared" si="4"/>
        <v>0</v>
      </c>
      <c r="K114" s="433"/>
    </row>
    <row r="115" spans="1:11" ht="24">
      <c r="A115" s="87" t="s">
        <v>745</v>
      </c>
      <c r="B115" s="82" t="s">
        <v>1776</v>
      </c>
      <c r="C115" s="85" t="s">
        <v>584</v>
      </c>
      <c r="D115" s="85" t="s">
        <v>142</v>
      </c>
      <c r="E115" s="85" t="s">
        <v>1401</v>
      </c>
      <c r="F115" s="85" t="s">
        <v>746</v>
      </c>
      <c r="G115" s="90">
        <v>58881</v>
      </c>
      <c r="H115" s="90">
        <v>0</v>
      </c>
      <c r="I115" s="422"/>
      <c r="J115" s="203">
        <f t="shared" si="4"/>
        <v>0</v>
      </c>
      <c r="K115" s="433"/>
    </row>
    <row r="116" spans="1:11" ht="15.75" hidden="1">
      <c r="A116" s="87" t="s">
        <v>295</v>
      </c>
      <c r="B116" s="82" t="s">
        <v>1776</v>
      </c>
      <c r="C116" s="85" t="s">
        <v>584</v>
      </c>
      <c r="D116" s="85" t="s">
        <v>142</v>
      </c>
      <c r="E116" s="85" t="s">
        <v>1401</v>
      </c>
      <c r="F116" s="85" t="s">
        <v>296</v>
      </c>
      <c r="G116" s="90">
        <f>G117</f>
        <v>0</v>
      </c>
      <c r="H116" s="90">
        <f>H117</f>
        <v>0</v>
      </c>
      <c r="I116" s="422">
        <f>I117</f>
        <v>0</v>
      </c>
      <c r="J116" s="203" t="e">
        <f t="shared" si="4"/>
        <v>#DIV/0!</v>
      </c>
      <c r="K116" s="433" t="e">
        <f t="shared" si="5"/>
        <v>#DIV/0!</v>
      </c>
    </row>
    <row r="117" spans="1:11" ht="24" hidden="1">
      <c r="A117" s="87" t="s">
        <v>303</v>
      </c>
      <c r="B117" s="82" t="s">
        <v>1776</v>
      </c>
      <c r="C117" s="85" t="s">
        <v>584</v>
      </c>
      <c r="D117" s="85" t="s">
        <v>142</v>
      </c>
      <c r="E117" s="85" t="s">
        <v>1401</v>
      </c>
      <c r="F117" s="85" t="s">
        <v>304</v>
      </c>
      <c r="G117" s="90"/>
      <c r="H117" s="90"/>
      <c r="I117" s="422"/>
      <c r="J117" s="203" t="e">
        <f t="shared" si="4"/>
        <v>#DIV/0!</v>
      </c>
      <c r="K117" s="433" t="e">
        <f t="shared" si="5"/>
        <v>#DIV/0!</v>
      </c>
    </row>
    <row r="118" spans="1:11" ht="24">
      <c r="A118" s="93" t="s">
        <v>1402</v>
      </c>
      <c r="B118" s="82" t="s">
        <v>1776</v>
      </c>
      <c r="C118" s="85" t="s">
        <v>584</v>
      </c>
      <c r="D118" s="85" t="s">
        <v>142</v>
      </c>
      <c r="E118" s="85" t="s">
        <v>1403</v>
      </c>
      <c r="F118" s="85"/>
      <c r="G118" s="90">
        <f>G119</f>
        <v>58595</v>
      </c>
      <c r="H118" s="90">
        <f>H119</f>
        <v>48522</v>
      </c>
      <c r="I118" s="422">
        <f>I119</f>
        <v>46600.4</v>
      </c>
      <c r="J118" s="203">
        <f t="shared" si="4"/>
        <v>79.52965270074237</v>
      </c>
      <c r="K118" s="433">
        <f t="shared" si="5"/>
        <v>96.03973455339846</v>
      </c>
    </row>
    <row r="119" spans="1:11" ht="24">
      <c r="A119" s="87" t="s">
        <v>661</v>
      </c>
      <c r="B119" s="82" t="s">
        <v>1776</v>
      </c>
      <c r="C119" s="85" t="s">
        <v>584</v>
      </c>
      <c r="D119" s="85" t="s">
        <v>142</v>
      </c>
      <c r="E119" s="85" t="s">
        <v>1894</v>
      </c>
      <c r="F119" s="85" t="s">
        <v>1071</v>
      </c>
      <c r="G119" s="90">
        <f>G120+G122</f>
        <v>58595</v>
      </c>
      <c r="H119" s="90">
        <f>H120+H122</f>
        <v>48522</v>
      </c>
      <c r="I119" s="422">
        <f>I120+I122</f>
        <v>46600.4</v>
      </c>
      <c r="J119" s="203">
        <f t="shared" si="4"/>
        <v>79.52965270074237</v>
      </c>
      <c r="K119" s="433">
        <f t="shared" si="5"/>
        <v>96.03973455339846</v>
      </c>
    </row>
    <row r="120" spans="1:11" ht="24">
      <c r="A120" s="87" t="s">
        <v>743</v>
      </c>
      <c r="B120" s="82" t="s">
        <v>1776</v>
      </c>
      <c r="C120" s="85" t="s">
        <v>584</v>
      </c>
      <c r="D120" s="85" t="s">
        <v>142</v>
      </c>
      <c r="E120" s="85" t="s">
        <v>1894</v>
      </c>
      <c r="F120" s="85" t="s">
        <v>744</v>
      </c>
      <c r="G120" s="90">
        <f>G121</f>
        <v>49169</v>
      </c>
      <c r="H120" s="90">
        <f>H121</f>
        <v>40684</v>
      </c>
      <c r="I120" s="422">
        <f>I121</f>
        <v>39046.4</v>
      </c>
      <c r="J120" s="203">
        <f t="shared" si="4"/>
        <v>79.4126380442962</v>
      </c>
      <c r="K120" s="433">
        <f t="shared" si="5"/>
        <v>95.97483040015732</v>
      </c>
    </row>
    <row r="121" spans="1:11" ht="24">
      <c r="A121" s="87" t="s">
        <v>745</v>
      </c>
      <c r="B121" s="82" t="s">
        <v>1776</v>
      </c>
      <c r="C121" s="85" t="s">
        <v>584</v>
      </c>
      <c r="D121" s="85" t="s">
        <v>142</v>
      </c>
      <c r="E121" s="85" t="s">
        <v>1894</v>
      </c>
      <c r="F121" s="85" t="s">
        <v>746</v>
      </c>
      <c r="G121" s="90">
        <v>49169</v>
      </c>
      <c r="H121" s="90">
        <f>42184-1500</f>
        <v>40684</v>
      </c>
      <c r="I121" s="422">
        <v>39046.4</v>
      </c>
      <c r="J121" s="203">
        <f t="shared" si="4"/>
        <v>79.4126380442962</v>
      </c>
      <c r="K121" s="433">
        <f t="shared" si="5"/>
        <v>95.97483040015732</v>
      </c>
    </row>
    <row r="122" spans="1:11" ht="24">
      <c r="A122" s="87" t="s">
        <v>295</v>
      </c>
      <c r="B122" s="82" t="s">
        <v>1776</v>
      </c>
      <c r="C122" s="85" t="s">
        <v>584</v>
      </c>
      <c r="D122" s="85" t="s">
        <v>142</v>
      </c>
      <c r="E122" s="85" t="s">
        <v>1894</v>
      </c>
      <c r="F122" s="85" t="s">
        <v>296</v>
      </c>
      <c r="G122" s="90">
        <f>G123</f>
        <v>9426</v>
      </c>
      <c r="H122" s="90">
        <f>H123</f>
        <v>7838</v>
      </c>
      <c r="I122" s="422">
        <f>I123</f>
        <v>7554</v>
      </c>
      <c r="J122" s="203">
        <f t="shared" si="4"/>
        <v>80.14003819223424</v>
      </c>
      <c r="K122" s="433">
        <f t="shared" si="5"/>
        <v>96.37662669048227</v>
      </c>
    </row>
    <row r="123" spans="1:11" ht="24">
      <c r="A123" s="87" t="s">
        <v>303</v>
      </c>
      <c r="B123" s="82" t="s">
        <v>1776</v>
      </c>
      <c r="C123" s="85" t="s">
        <v>584</v>
      </c>
      <c r="D123" s="85" t="s">
        <v>142</v>
      </c>
      <c r="E123" s="85" t="s">
        <v>1894</v>
      </c>
      <c r="F123" s="85" t="s">
        <v>304</v>
      </c>
      <c r="G123" s="90">
        <v>9426</v>
      </c>
      <c r="H123" s="90">
        <v>7838</v>
      </c>
      <c r="I123" s="422">
        <v>7554</v>
      </c>
      <c r="J123" s="203">
        <f t="shared" si="4"/>
        <v>80.14003819223424</v>
      </c>
      <c r="K123" s="433">
        <f t="shared" si="5"/>
        <v>96.37662669048227</v>
      </c>
    </row>
    <row r="124" spans="1:11" ht="24">
      <c r="A124" s="93" t="s">
        <v>1404</v>
      </c>
      <c r="B124" s="82" t="s">
        <v>1776</v>
      </c>
      <c r="C124" s="85" t="s">
        <v>584</v>
      </c>
      <c r="D124" s="85" t="s">
        <v>142</v>
      </c>
      <c r="E124" s="85" t="s">
        <v>1405</v>
      </c>
      <c r="F124" s="85"/>
      <c r="G124" s="90">
        <f>G125+G127</f>
        <v>28095</v>
      </c>
      <c r="H124" s="90">
        <f>H125+H127</f>
        <v>20483.9</v>
      </c>
      <c r="I124" s="422">
        <f>I125+I127</f>
        <v>18287.5</v>
      </c>
      <c r="J124" s="203">
        <f t="shared" si="4"/>
        <v>65.09165331909593</v>
      </c>
      <c r="K124" s="433">
        <f t="shared" si="5"/>
        <v>89.27743252017437</v>
      </c>
    </row>
    <row r="125" spans="1:11" ht="48">
      <c r="A125" s="92" t="s">
        <v>1753</v>
      </c>
      <c r="B125" s="82" t="s">
        <v>1776</v>
      </c>
      <c r="C125" s="85" t="s">
        <v>584</v>
      </c>
      <c r="D125" s="85" t="s">
        <v>142</v>
      </c>
      <c r="E125" s="85" t="s">
        <v>1754</v>
      </c>
      <c r="F125" s="85" t="s">
        <v>1071</v>
      </c>
      <c r="G125" s="90">
        <f>G126</f>
        <v>0</v>
      </c>
      <c r="H125" s="90">
        <f>H126</f>
        <v>3614.9</v>
      </c>
      <c r="I125" s="422">
        <f>I126</f>
        <v>2566.1</v>
      </c>
      <c r="J125" s="203"/>
      <c r="K125" s="433">
        <f t="shared" si="5"/>
        <v>70.98674928767046</v>
      </c>
    </row>
    <row r="126" spans="1:11" ht="24">
      <c r="A126" s="87" t="s">
        <v>743</v>
      </c>
      <c r="B126" s="82" t="s">
        <v>1776</v>
      </c>
      <c r="C126" s="85" t="s">
        <v>584</v>
      </c>
      <c r="D126" s="85" t="s">
        <v>142</v>
      </c>
      <c r="E126" s="85" t="s">
        <v>1754</v>
      </c>
      <c r="F126" s="85" t="s">
        <v>744</v>
      </c>
      <c r="G126" s="90"/>
      <c r="H126" s="90">
        <v>3614.9</v>
      </c>
      <c r="I126" s="422">
        <v>2566.1</v>
      </c>
      <c r="J126" s="203"/>
      <c r="K126" s="433">
        <f t="shared" si="5"/>
        <v>70.98674928767046</v>
      </c>
    </row>
    <row r="127" spans="1:11" ht="24">
      <c r="A127" s="87" t="s">
        <v>661</v>
      </c>
      <c r="B127" s="82" t="s">
        <v>1776</v>
      </c>
      <c r="C127" s="85" t="s">
        <v>584</v>
      </c>
      <c r="D127" s="85" t="s">
        <v>142</v>
      </c>
      <c r="E127" s="85" t="s">
        <v>1406</v>
      </c>
      <c r="F127" s="85" t="s">
        <v>1071</v>
      </c>
      <c r="G127" s="90">
        <f aca="true" t="shared" si="6" ref="G127:I128">G128</f>
        <v>28095</v>
      </c>
      <c r="H127" s="90">
        <f t="shared" si="6"/>
        <v>16869</v>
      </c>
      <c r="I127" s="422">
        <f t="shared" si="6"/>
        <v>15721.4</v>
      </c>
      <c r="J127" s="203">
        <f t="shared" si="4"/>
        <v>55.957999644064785</v>
      </c>
      <c r="K127" s="433">
        <f t="shared" si="5"/>
        <v>93.19698855889501</v>
      </c>
    </row>
    <row r="128" spans="1:11" ht="24">
      <c r="A128" s="87" t="s">
        <v>743</v>
      </c>
      <c r="B128" s="82" t="s">
        <v>1776</v>
      </c>
      <c r="C128" s="85" t="s">
        <v>584</v>
      </c>
      <c r="D128" s="85" t="s">
        <v>142</v>
      </c>
      <c r="E128" s="85" t="s">
        <v>1406</v>
      </c>
      <c r="F128" s="85" t="s">
        <v>744</v>
      </c>
      <c r="G128" s="90">
        <f t="shared" si="6"/>
        <v>28095</v>
      </c>
      <c r="H128" s="90">
        <f t="shared" si="6"/>
        <v>16869</v>
      </c>
      <c r="I128" s="422">
        <f t="shared" si="6"/>
        <v>15721.4</v>
      </c>
      <c r="J128" s="203">
        <f t="shared" si="4"/>
        <v>55.957999644064785</v>
      </c>
      <c r="K128" s="433">
        <f t="shared" si="5"/>
        <v>93.19698855889501</v>
      </c>
    </row>
    <row r="129" spans="1:11" ht="24">
      <c r="A129" s="87" t="s">
        <v>745</v>
      </c>
      <c r="B129" s="82" t="s">
        <v>1776</v>
      </c>
      <c r="C129" s="85" t="s">
        <v>584</v>
      </c>
      <c r="D129" s="85" t="s">
        <v>142</v>
      </c>
      <c r="E129" s="85" t="s">
        <v>1406</v>
      </c>
      <c r="F129" s="85" t="s">
        <v>746</v>
      </c>
      <c r="G129" s="90">
        <v>28095</v>
      </c>
      <c r="H129" s="90">
        <v>16869</v>
      </c>
      <c r="I129" s="422">
        <v>15721.4</v>
      </c>
      <c r="J129" s="203">
        <f t="shared" si="4"/>
        <v>55.957999644064785</v>
      </c>
      <c r="K129" s="433">
        <f t="shared" si="5"/>
        <v>93.19698855889501</v>
      </c>
    </row>
    <row r="130" spans="1:11" ht="24">
      <c r="A130" s="87" t="s">
        <v>577</v>
      </c>
      <c r="B130" s="82" t="s">
        <v>1776</v>
      </c>
      <c r="C130" s="85" t="s">
        <v>584</v>
      </c>
      <c r="D130" s="85" t="s">
        <v>142</v>
      </c>
      <c r="E130" s="85" t="s">
        <v>576</v>
      </c>
      <c r="F130" s="85" t="s">
        <v>1071</v>
      </c>
      <c r="G130" s="90">
        <f>G131+G132+G133</f>
        <v>0</v>
      </c>
      <c r="H130" s="90">
        <f>H131+H132+H133</f>
        <v>44641</v>
      </c>
      <c r="I130" s="422">
        <f>I131+I132+I133</f>
        <v>43966</v>
      </c>
      <c r="J130" s="203"/>
      <c r="K130" s="433">
        <f t="shared" si="5"/>
        <v>98.48793709818328</v>
      </c>
    </row>
    <row r="131" spans="1:11" ht="24">
      <c r="A131" s="348" t="s">
        <v>89</v>
      </c>
      <c r="B131" s="82" t="s">
        <v>1776</v>
      </c>
      <c r="C131" s="85" t="s">
        <v>584</v>
      </c>
      <c r="D131" s="85" t="s">
        <v>142</v>
      </c>
      <c r="E131" s="85" t="s">
        <v>576</v>
      </c>
      <c r="F131" s="85" t="s">
        <v>90</v>
      </c>
      <c r="G131" s="90"/>
      <c r="H131" s="90">
        <v>43778</v>
      </c>
      <c r="I131" s="422">
        <v>43778</v>
      </c>
      <c r="J131" s="203"/>
      <c r="K131" s="433">
        <f t="shared" si="5"/>
        <v>100</v>
      </c>
    </row>
    <row r="132" spans="1:11" ht="24">
      <c r="A132" s="87" t="s">
        <v>302</v>
      </c>
      <c r="B132" s="82" t="s">
        <v>1776</v>
      </c>
      <c r="C132" s="85" t="s">
        <v>584</v>
      </c>
      <c r="D132" s="85" t="s">
        <v>142</v>
      </c>
      <c r="E132" s="85" t="s">
        <v>576</v>
      </c>
      <c r="F132" s="85" t="s">
        <v>296</v>
      </c>
      <c r="G132" s="90"/>
      <c r="H132" s="90">
        <f>188+675</f>
        <v>863</v>
      </c>
      <c r="I132" s="422">
        <v>188</v>
      </c>
      <c r="J132" s="203"/>
      <c r="K132" s="433">
        <f t="shared" si="5"/>
        <v>21.78447276940904</v>
      </c>
    </row>
    <row r="133" spans="1:11" ht="15.75" hidden="1">
      <c r="A133" s="87" t="s">
        <v>1755</v>
      </c>
      <c r="B133" s="82" t="s">
        <v>1776</v>
      </c>
      <c r="C133" s="85" t="s">
        <v>584</v>
      </c>
      <c r="D133" s="85" t="s">
        <v>142</v>
      </c>
      <c r="E133" s="85" t="s">
        <v>576</v>
      </c>
      <c r="F133" s="85" t="s">
        <v>801</v>
      </c>
      <c r="G133" s="90">
        <v>0</v>
      </c>
      <c r="H133" s="90">
        <v>0</v>
      </c>
      <c r="I133" s="422"/>
      <c r="J133" s="203" t="e">
        <f t="shared" si="4"/>
        <v>#DIV/0!</v>
      </c>
      <c r="K133" s="433" t="e">
        <f t="shared" si="5"/>
        <v>#DIV/0!</v>
      </c>
    </row>
    <row r="134" spans="1:11" ht="24">
      <c r="A134" s="86" t="s">
        <v>848</v>
      </c>
      <c r="B134" s="82" t="s">
        <v>1776</v>
      </c>
      <c r="C134" s="85" t="s">
        <v>584</v>
      </c>
      <c r="D134" s="85" t="s">
        <v>142</v>
      </c>
      <c r="E134" s="85" t="s">
        <v>849</v>
      </c>
      <c r="F134" s="85"/>
      <c r="G134" s="90">
        <f>G135+G137+G142+G146+G148+G151</f>
        <v>8734</v>
      </c>
      <c r="H134" s="90">
        <f>H135+H137+H142+H146+H148+H151</f>
        <v>8749</v>
      </c>
      <c r="I134" s="422">
        <f>I135+I137+I142+I146+I148+I151</f>
        <v>8043.599999999999</v>
      </c>
      <c r="J134" s="203">
        <f t="shared" si="4"/>
        <v>92.09525990382413</v>
      </c>
      <c r="K134" s="433">
        <f t="shared" si="5"/>
        <v>91.93736427020231</v>
      </c>
    </row>
    <row r="135" spans="1:11" ht="15.75" hidden="1">
      <c r="A135" s="87" t="s">
        <v>1407</v>
      </c>
      <c r="B135" s="82" t="s">
        <v>1776</v>
      </c>
      <c r="C135" s="85" t="s">
        <v>584</v>
      </c>
      <c r="D135" s="85" t="s">
        <v>142</v>
      </c>
      <c r="E135" s="85" t="s">
        <v>1408</v>
      </c>
      <c r="F135" s="85" t="s">
        <v>1409</v>
      </c>
      <c r="G135" s="90"/>
      <c r="H135" s="90"/>
      <c r="I135" s="422"/>
      <c r="J135" s="203" t="e">
        <f t="shared" si="4"/>
        <v>#DIV/0!</v>
      </c>
      <c r="K135" s="433" t="e">
        <f t="shared" si="5"/>
        <v>#DIV/0!</v>
      </c>
    </row>
    <row r="136" spans="1:11" ht="15.75" hidden="1">
      <c r="A136" s="87" t="s">
        <v>924</v>
      </c>
      <c r="B136" s="82" t="s">
        <v>1776</v>
      </c>
      <c r="C136" s="85" t="s">
        <v>584</v>
      </c>
      <c r="D136" s="85" t="s">
        <v>142</v>
      </c>
      <c r="E136" s="85" t="s">
        <v>849</v>
      </c>
      <c r="F136" s="85" t="s">
        <v>1881</v>
      </c>
      <c r="G136" s="90">
        <v>0</v>
      </c>
      <c r="H136" s="90">
        <v>0</v>
      </c>
      <c r="I136" s="422">
        <v>1</v>
      </c>
      <c r="J136" s="203" t="e">
        <f t="shared" si="4"/>
        <v>#DIV/0!</v>
      </c>
      <c r="K136" s="433" t="e">
        <f t="shared" si="5"/>
        <v>#DIV/0!</v>
      </c>
    </row>
    <row r="137" spans="1:11" ht="24">
      <c r="A137" s="87" t="s">
        <v>1412</v>
      </c>
      <c r="B137" s="82" t="s">
        <v>1776</v>
      </c>
      <c r="C137" s="85" t="s">
        <v>584</v>
      </c>
      <c r="D137" s="85" t="s">
        <v>142</v>
      </c>
      <c r="E137" s="85" t="s">
        <v>1413</v>
      </c>
      <c r="F137" s="85" t="s">
        <v>1071</v>
      </c>
      <c r="G137" s="90">
        <f>G138+G140</f>
        <v>8734</v>
      </c>
      <c r="H137" s="90">
        <f>H138+H140</f>
        <v>8749</v>
      </c>
      <c r="I137" s="422">
        <f>I138+I140</f>
        <v>8043.599999999999</v>
      </c>
      <c r="J137" s="203">
        <f t="shared" si="4"/>
        <v>92.09525990382413</v>
      </c>
      <c r="K137" s="433">
        <f t="shared" si="5"/>
        <v>91.93736427020231</v>
      </c>
    </row>
    <row r="138" spans="1:11" ht="21" customHeight="1">
      <c r="A138" s="87" t="s">
        <v>743</v>
      </c>
      <c r="B138" s="82" t="s">
        <v>1776</v>
      </c>
      <c r="C138" s="85" t="s">
        <v>584</v>
      </c>
      <c r="D138" s="85" t="s">
        <v>142</v>
      </c>
      <c r="E138" s="85" t="s">
        <v>1413</v>
      </c>
      <c r="F138" s="85" t="s">
        <v>744</v>
      </c>
      <c r="G138" s="90">
        <f>G139</f>
        <v>282</v>
      </c>
      <c r="H138" s="90">
        <v>282</v>
      </c>
      <c r="I138" s="422">
        <v>140.4</v>
      </c>
      <c r="J138" s="203">
        <f t="shared" si="4"/>
        <v>49.787234042553195</v>
      </c>
      <c r="K138" s="433">
        <f t="shared" si="5"/>
        <v>49.787234042553195</v>
      </c>
    </row>
    <row r="139" spans="1:11" ht="24">
      <c r="A139" s="87" t="s">
        <v>745</v>
      </c>
      <c r="B139" s="82" t="s">
        <v>1776</v>
      </c>
      <c r="C139" s="85" t="s">
        <v>584</v>
      </c>
      <c r="D139" s="85" t="s">
        <v>142</v>
      </c>
      <c r="E139" s="85" t="s">
        <v>1413</v>
      </c>
      <c r="F139" s="85" t="s">
        <v>746</v>
      </c>
      <c r="G139" s="90">
        <v>282</v>
      </c>
      <c r="H139" s="90">
        <v>0</v>
      </c>
      <c r="I139" s="422">
        <v>0</v>
      </c>
      <c r="J139" s="203">
        <f t="shared" si="4"/>
        <v>0</v>
      </c>
      <c r="K139" s="433"/>
    </row>
    <row r="140" spans="1:11" ht="24">
      <c r="A140" s="87" t="s">
        <v>302</v>
      </c>
      <c r="B140" s="82" t="s">
        <v>1776</v>
      </c>
      <c r="C140" s="85" t="s">
        <v>584</v>
      </c>
      <c r="D140" s="85" t="s">
        <v>142</v>
      </c>
      <c r="E140" s="85" t="s">
        <v>1413</v>
      </c>
      <c r="F140" s="85" t="s">
        <v>296</v>
      </c>
      <c r="G140" s="90">
        <f>G141</f>
        <v>8452</v>
      </c>
      <c r="H140" s="90">
        <v>8467</v>
      </c>
      <c r="I140" s="422">
        <v>7903.2</v>
      </c>
      <c r="J140" s="203">
        <f>I140/G140*100</f>
        <v>93.5068622811169</v>
      </c>
      <c r="K140" s="433">
        <f aca="true" t="shared" si="7" ref="K140:K203">I140/H140*100</f>
        <v>93.34120703909295</v>
      </c>
    </row>
    <row r="141" spans="1:11" ht="24">
      <c r="A141" s="87" t="s">
        <v>745</v>
      </c>
      <c r="B141" s="82" t="s">
        <v>1776</v>
      </c>
      <c r="C141" s="85" t="s">
        <v>584</v>
      </c>
      <c r="D141" s="85" t="s">
        <v>142</v>
      </c>
      <c r="E141" s="85" t="s">
        <v>1413</v>
      </c>
      <c r="F141" s="85" t="s">
        <v>304</v>
      </c>
      <c r="G141" s="90">
        <v>8452</v>
      </c>
      <c r="H141" s="90">
        <v>0</v>
      </c>
      <c r="I141" s="422">
        <v>0</v>
      </c>
      <c r="J141" s="203">
        <f>I141/G141*100</f>
        <v>0</v>
      </c>
      <c r="K141" s="433"/>
    </row>
    <row r="142" spans="1:11" ht="24" hidden="1">
      <c r="A142" s="87" t="s">
        <v>596</v>
      </c>
      <c r="B142" s="82" t="s">
        <v>1776</v>
      </c>
      <c r="C142" s="85" t="s">
        <v>584</v>
      </c>
      <c r="D142" s="85" t="s">
        <v>142</v>
      </c>
      <c r="E142" s="85" t="s">
        <v>1411</v>
      </c>
      <c r="F142" s="85"/>
      <c r="G142" s="90">
        <f aca="true" t="shared" si="8" ref="G142:I143">G143</f>
        <v>0</v>
      </c>
      <c r="H142" s="90">
        <f t="shared" si="8"/>
        <v>0</v>
      </c>
      <c r="I142" s="422">
        <f t="shared" si="8"/>
        <v>0</v>
      </c>
      <c r="J142" s="203" t="e">
        <f>I142/G142*100</f>
        <v>#DIV/0!</v>
      </c>
      <c r="K142" s="433" t="e">
        <f t="shared" si="7"/>
        <v>#DIV/0!</v>
      </c>
    </row>
    <row r="143" spans="1:11" ht="24" hidden="1">
      <c r="A143" s="87" t="s">
        <v>1414</v>
      </c>
      <c r="B143" s="82" t="s">
        <v>1776</v>
      </c>
      <c r="C143" s="85" t="s">
        <v>584</v>
      </c>
      <c r="D143" s="85" t="s">
        <v>142</v>
      </c>
      <c r="E143" s="85" t="s">
        <v>1415</v>
      </c>
      <c r="F143" s="85"/>
      <c r="G143" s="90">
        <f t="shared" si="8"/>
        <v>0</v>
      </c>
      <c r="H143" s="90">
        <f t="shared" si="8"/>
        <v>0</v>
      </c>
      <c r="I143" s="422">
        <f t="shared" si="8"/>
        <v>0</v>
      </c>
      <c r="J143" s="203" t="e">
        <f>I143/G143*100</f>
        <v>#DIV/0!</v>
      </c>
      <c r="K143" s="433" t="e">
        <f t="shared" si="7"/>
        <v>#DIV/0!</v>
      </c>
    </row>
    <row r="144" spans="1:11" ht="15.75" hidden="1">
      <c r="A144" s="87" t="s">
        <v>1758</v>
      </c>
      <c r="B144" s="82" t="s">
        <v>1776</v>
      </c>
      <c r="C144" s="85" t="s">
        <v>584</v>
      </c>
      <c r="D144" s="85" t="s">
        <v>142</v>
      </c>
      <c r="E144" s="85" t="s">
        <v>1415</v>
      </c>
      <c r="F144" s="85" t="s">
        <v>1878</v>
      </c>
      <c r="G144" s="90"/>
      <c r="H144" s="90"/>
      <c r="I144" s="422"/>
      <c r="J144" s="203" t="e">
        <f>I144/G144*100</f>
        <v>#DIV/0!</v>
      </c>
      <c r="K144" s="433" t="e">
        <f t="shared" si="7"/>
        <v>#DIV/0!</v>
      </c>
    </row>
    <row r="145" spans="1:11" ht="24">
      <c r="A145" s="86" t="s">
        <v>854</v>
      </c>
      <c r="B145" s="82" t="s">
        <v>1776</v>
      </c>
      <c r="C145" s="85" t="s">
        <v>584</v>
      </c>
      <c r="D145" s="85" t="s">
        <v>142</v>
      </c>
      <c r="E145" s="85" t="s">
        <v>855</v>
      </c>
      <c r="F145" s="85"/>
      <c r="G145" s="90">
        <f>G150</f>
        <v>0</v>
      </c>
      <c r="H145" s="90">
        <f>H150</f>
        <v>3158.2</v>
      </c>
      <c r="I145" s="422">
        <f>I150</f>
        <v>3158.2</v>
      </c>
      <c r="J145" s="203"/>
      <c r="K145" s="433">
        <f t="shared" si="7"/>
        <v>100</v>
      </c>
    </row>
    <row r="146" spans="1:11" ht="24" hidden="1">
      <c r="A146" s="87" t="s">
        <v>885</v>
      </c>
      <c r="B146" s="82" t="s">
        <v>1776</v>
      </c>
      <c r="C146" s="85" t="s">
        <v>584</v>
      </c>
      <c r="D146" s="85" t="s">
        <v>142</v>
      </c>
      <c r="E146" s="85" t="s">
        <v>578</v>
      </c>
      <c r="F146" s="85"/>
      <c r="G146" s="90">
        <f>G147</f>
        <v>0</v>
      </c>
      <c r="H146" s="90">
        <f>H147</f>
        <v>0</v>
      </c>
      <c r="I146" s="422">
        <f>I147</f>
        <v>0</v>
      </c>
      <c r="J146" s="203" t="e">
        <f>I146/G146*100</f>
        <v>#DIV/0!</v>
      </c>
      <c r="K146" s="433" t="e">
        <f t="shared" si="7"/>
        <v>#DIV/0!</v>
      </c>
    </row>
    <row r="147" spans="1:11" ht="15.75" hidden="1">
      <c r="A147" s="87" t="s">
        <v>925</v>
      </c>
      <c r="B147" s="82" t="s">
        <v>1776</v>
      </c>
      <c r="C147" s="85" t="s">
        <v>584</v>
      </c>
      <c r="D147" s="85" t="s">
        <v>142</v>
      </c>
      <c r="E147" s="85" t="s">
        <v>578</v>
      </c>
      <c r="F147" s="85" t="s">
        <v>926</v>
      </c>
      <c r="G147" s="90"/>
      <c r="H147" s="90"/>
      <c r="I147" s="422"/>
      <c r="J147" s="203" t="e">
        <f>I147/G147*100</f>
        <v>#DIV/0!</v>
      </c>
      <c r="K147" s="433" t="e">
        <f t="shared" si="7"/>
        <v>#DIV/0!</v>
      </c>
    </row>
    <row r="148" spans="1:11" ht="36" hidden="1">
      <c r="A148" s="87" t="s">
        <v>886</v>
      </c>
      <c r="B148" s="82" t="s">
        <v>1776</v>
      </c>
      <c r="C148" s="85" t="s">
        <v>584</v>
      </c>
      <c r="D148" s="85" t="s">
        <v>142</v>
      </c>
      <c r="E148" s="85" t="s">
        <v>579</v>
      </c>
      <c r="F148" s="85"/>
      <c r="G148" s="90">
        <f>G149</f>
        <v>0</v>
      </c>
      <c r="H148" s="90">
        <f>H149</f>
        <v>0</v>
      </c>
      <c r="I148" s="422">
        <f>I149</f>
        <v>0</v>
      </c>
      <c r="J148" s="203" t="e">
        <f>I148/G148*100</f>
        <v>#DIV/0!</v>
      </c>
      <c r="K148" s="433" t="e">
        <f t="shared" si="7"/>
        <v>#DIV/0!</v>
      </c>
    </row>
    <row r="149" spans="1:11" ht="15.75" hidden="1">
      <c r="A149" s="87" t="s">
        <v>925</v>
      </c>
      <c r="B149" s="82" t="s">
        <v>1776</v>
      </c>
      <c r="C149" s="85" t="s">
        <v>584</v>
      </c>
      <c r="D149" s="85" t="s">
        <v>142</v>
      </c>
      <c r="E149" s="85" t="s">
        <v>579</v>
      </c>
      <c r="F149" s="85" t="s">
        <v>926</v>
      </c>
      <c r="G149" s="90"/>
      <c r="H149" s="90"/>
      <c r="I149" s="422"/>
      <c r="J149" s="203" t="e">
        <f>I149/G149*100</f>
        <v>#DIV/0!</v>
      </c>
      <c r="K149" s="433" t="e">
        <f t="shared" si="7"/>
        <v>#DIV/0!</v>
      </c>
    </row>
    <row r="150" spans="1:11" ht="24">
      <c r="A150" s="87" t="s">
        <v>988</v>
      </c>
      <c r="B150" s="82" t="s">
        <v>1776</v>
      </c>
      <c r="C150" s="85" t="s">
        <v>584</v>
      </c>
      <c r="D150" s="85" t="s">
        <v>142</v>
      </c>
      <c r="E150" s="85" t="s">
        <v>989</v>
      </c>
      <c r="F150" s="85" t="s">
        <v>1071</v>
      </c>
      <c r="G150" s="90">
        <f>G153+G156</f>
        <v>0</v>
      </c>
      <c r="H150" s="90">
        <f>H153+H156</f>
        <v>3158.2</v>
      </c>
      <c r="I150" s="422">
        <f>I153+I156</f>
        <v>3158.2</v>
      </c>
      <c r="J150" s="203"/>
      <c r="K150" s="433">
        <f t="shared" si="7"/>
        <v>100</v>
      </c>
    </row>
    <row r="151" spans="1:11" ht="60" hidden="1">
      <c r="A151" s="87" t="s">
        <v>990</v>
      </c>
      <c r="B151" s="82" t="s">
        <v>1776</v>
      </c>
      <c r="C151" s="85" t="s">
        <v>584</v>
      </c>
      <c r="D151" s="85" t="s">
        <v>142</v>
      </c>
      <c r="E151" s="85" t="s">
        <v>578</v>
      </c>
      <c r="F151" s="85" t="s">
        <v>1071</v>
      </c>
      <c r="G151" s="90">
        <f>G152</f>
        <v>0</v>
      </c>
      <c r="H151" s="90">
        <f>H152</f>
        <v>0</v>
      </c>
      <c r="I151" s="422">
        <f>I152</f>
        <v>0</v>
      </c>
      <c r="J151" s="203"/>
      <c r="K151" s="433" t="e">
        <f t="shared" si="7"/>
        <v>#DIV/0!</v>
      </c>
    </row>
    <row r="152" spans="1:11" ht="15.75" hidden="1">
      <c r="A152" s="87" t="s">
        <v>302</v>
      </c>
      <c r="B152" s="82" t="s">
        <v>1776</v>
      </c>
      <c r="C152" s="85" t="s">
        <v>584</v>
      </c>
      <c r="D152" s="85" t="s">
        <v>142</v>
      </c>
      <c r="E152" s="85" t="s">
        <v>578</v>
      </c>
      <c r="F152" s="85" t="s">
        <v>296</v>
      </c>
      <c r="G152" s="90">
        <f>2000-2000</f>
        <v>0</v>
      </c>
      <c r="H152" s="90">
        <f>2000-2000</f>
        <v>0</v>
      </c>
      <c r="I152" s="422">
        <f>2000-2000</f>
        <v>0</v>
      </c>
      <c r="J152" s="203"/>
      <c r="K152" s="433" t="e">
        <f t="shared" si="7"/>
        <v>#DIV/0!</v>
      </c>
    </row>
    <row r="153" spans="1:11" ht="60">
      <c r="A153" s="87" t="s">
        <v>991</v>
      </c>
      <c r="B153" s="82" t="s">
        <v>1776</v>
      </c>
      <c r="C153" s="85" t="s">
        <v>584</v>
      </c>
      <c r="D153" s="85" t="s">
        <v>142</v>
      </c>
      <c r="E153" s="85" t="s">
        <v>992</v>
      </c>
      <c r="F153" s="85" t="s">
        <v>1071</v>
      </c>
      <c r="G153" s="90">
        <f>G154+G155</f>
        <v>0</v>
      </c>
      <c r="H153" s="90">
        <f>H154+H155</f>
        <v>2000</v>
      </c>
      <c r="I153" s="422">
        <f>I154+I155</f>
        <v>2000</v>
      </c>
      <c r="J153" s="203"/>
      <c r="K153" s="433">
        <f t="shared" si="7"/>
        <v>100</v>
      </c>
    </row>
    <row r="154" spans="1:11" ht="24">
      <c r="A154" s="87" t="s">
        <v>993</v>
      </c>
      <c r="B154" s="82" t="s">
        <v>1776</v>
      </c>
      <c r="C154" s="85" t="s">
        <v>584</v>
      </c>
      <c r="D154" s="85" t="s">
        <v>142</v>
      </c>
      <c r="E154" s="85" t="s">
        <v>992</v>
      </c>
      <c r="F154" s="85" t="s">
        <v>90</v>
      </c>
      <c r="G154" s="90"/>
      <c r="H154" s="90">
        <v>1990</v>
      </c>
      <c r="I154" s="422">
        <v>1990</v>
      </c>
      <c r="J154" s="203"/>
      <c r="K154" s="433">
        <f t="shared" si="7"/>
        <v>100</v>
      </c>
    </row>
    <row r="155" spans="1:11" ht="24">
      <c r="A155" s="87" t="s">
        <v>302</v>
      </c>
      <c r="B155" s="82" t="s">
        <v>1776</v>
      </c>
      <c r="C155" s="85" t="s">
        <v>584</v>
      </c>
      <c r="D155" s="85" t="s">
        <v>142</v>
      </c>
      <c r="E155" s="85" t="s">
        <v>992</v>
      </c>
      <c r="F155" s="85" t="s">
        <v>296</v>
      </c>
      <c r="G155" s="90"/>
      <c r="H155" s="90">
        <v>10</v>
      </c>
      <c r="I155" s="422">
        <v>10</v>
      </c>
      <c r="J155" s="203"/>
      <c r="K155" s="433">
        <f t="shared" si="7"/>
        <v>100</v>
      </c>
    </row>
    <row r="156" spans="1:11" ht="22.5" customHeight="1">
      <c r="A156" s="87" t="s">
        <v>994</v>
      </c>
      <c r="B156" s="82" t="s">
        <v>1776</v>
      </c>
      <c r="C156" s="85" t="s">
        <v>584</v>
      </c>
      <c r="D156" s="85" t="s">
        <v>142</v>
      </c>
      <c r="E156" s="85" t="s">
        <v>995</v>
      </c>
      <c r="F156" s="85" t="s">
        <v>1071</v>
      </c>
      <c r="G156" s="90">
        <f>G157+G158</f>
        <v>0</v>
      </c>
      <c r="H156" s="90">
        <f>H157+H158</f>
        <v>1158.2</v>
      </c>
      <c r="I156" s="422">
        <f>I157+I158</f>
        <v>1158.2</v>
      </c>
      <c r="J156" s="203"/>
      <c r="K156" s="433">
        <f t="shared" si="7"/>
        <v>100</v>
      </c>
    </row>
    <row r="157" spans="1:11" ht="17.25" customHeight="1">
      <c r="A157" s="87" t="s">
        <v>302</v>
      </c>
      <c r="B157" s="82" t="s">
        <v>1776</v>
      </c>
      <c r="C157" s="85" t="s">
        <v>584</v>
      </c>
      <c r="D157" s="85" t="s">
        <v>142</v>
      </c>
      <c r="E157" s="85" t="s">
        <v>995</v>
      </c>
      <c r="F157" s="85" t="s">
        <v>296</v>
      </c>
      <c r="G157" s="90"/>
      <c r="H157" s="90">
        <v>1158.2</v>
      </c>
      <c r="I157" s="422">
        <v>1158.2</v>
      </c>
      <c r="J157" s="203"/>
      <c r="K157" s="433">
        <f t="shared" si="7"/>
        <v>100</v>
      </c>
    </row>
    <row r="158" spans="1:11" ht="24" hidden="1">
      <c r="A158" s="87" t="s">
        <v>745</v>
      </c>
      <c r="B158" s="82" t="s">
        <v>1776</v>
      </c>
      <c r="C158" s="85" t="s">
        <v>584</v>
      </c>
      <c r="D158" s="85" t="s">
        <v>142</v>
      </c>
      <c r="E158" s="85" t="s">
        <v>995</v>
      </c>
      <c r="F158" s="85" t="s">
        <v>304</v>
      </c>
      <c r="G158" s="90"/>
      <c r="H158" s="90"/>
      <c r="I158" s="422"/>
      <c r="J158" s="203" t="e">
        <f>I158/G158*100</f>
        <v>#DIV/0!</v>
      </c>
      <c r="K158" s="433" t="e">
        <f t="shared" si="7"/>
        <v>#DIV/0!</v>
      </c>
    </row>
    <row r="159" spans="1:11" ht="24">
      <c r="A159" s="86" t="s">
        <v>909</v>
      </c>
      <c r="B159" s="82" t="s">
        <v>1776</v>
      </c>
      <c r="C159" s="85" t="s">
        <v>584</v>
      </c>
      <c r="D159" s="85" t="s">
        <v>142</v>
      </c>
      <c r="E159" s="85" t="s">
        <v>910</v>
      </c>
      <c r="F159" s="85"/>
      <c r="G159" s="90">
        <f>G160+G193+G196</f>
        <v>204</v>
      </c>
      <c r="H159" s="90">
        <f>H160+H193+H196</f>
        <v>151088.9</v>
      </c>
      <c r="I159" s="422">
        <f>I160+I193+I196</f>
        <v>146233.69999999998</v>
      </c>
      <c r="J159" s="421" t="s">
        <v>1212</v>
      </c>
      <c r="K159" s="433">
        <f t="shared" si="7"/>
        <v>96.78652766682396</v>
      </c>
    </row>
    <row r="160" spans="1:11" ht="24">
      <c r="A160" s="87" t="s">
        <v>996</v>
      </c>
      <c r="B160" s="82" t="s">
        <v>1776</v>
      </c>
      <c r="C160" s="85" t="s">
        <v>584</v>
      </c>
      <c r="D160" s="85" t="s">
        <v>142</v>
      </c>
      <c r="E160" s="85" t="s">
        <v>997</v>
      </c>
      <c r="F160" s="85"/>
      <c r="G160" s="90">
        <f>G161+G162+G163+G167+G173+G176+G188+G191</f>
        <v>0</v>
      </c>
      <c r="H160" s="90">
        <f>H161+H162+H163+H167+H173+H176+H188+H191</f>
        <v>145374.1</v>
      </c>
      <c r="I160" s="422">
        <f>I161+I162+I163+I167+I173+I176+I188+I191</f>
        <v>141275.1</v>
      </c>
      <c r="J160" s="203"/>
      <c r="K160" s="433">
        <f t="shared" si="7"/>
        <v>97.18037807284792</v>
      </c>
    </row>
    <row r="161" spans="1:11" ht="36">
      <c r="A161" s="87" t="s">
        <v>484</v>
      </c>
      <c r="B161" s="82" t="s">
        <v>1776</v>
      </c>
      <c r="C161" s="85" t="s">
        <v>584</v>
      </c>
      <c r="D161" s="85" t="s">
        <v>142</v>
      </c>
      <c r="E161" s="85" t="s">
        <v>997</v>
      </c>
      <c r="F161" s="85" t="s">
        <v>742</v>
      </c>
      <c r="G161" s="90"/>
      <c r="H161" s="90">
        <v>420</v>
      </c>
      <c r="I161" s="422">
        <v>420</v>
      </c>
      <c r="J161" s="203"/>
      <c r="K161" s="433">
        <f t="shared" si="7"/>
        <v>100</v>
      </c>
    </row>
    <row r="162" spans="1:11" ht="24">
      <c r="A162" s="87" t="s">
        <v>485</v>
      </c>
      <c r="B162" s="82" t="s">
        <v>1776</v>
      </c>
      <c r="C162" s="85" t="s">
        <v>584</v>
      </c>
      <c r="D162" s="85" t="s">
        <v>142</v>
      </c>
      <c r="E162" s="85" t="s">
        <v>997</v>
      </c>
      <c r="F162" s="85" t="s">
        <v>742</v>
      </c>
      <c r="G162" s="90"/>
      <c r="H162" s="90">
        <v>113.7</v>
      </c>
      <c r="I162" s="422">
        <v>113.7</v>
      </c>
      <c r="J162" s="203"/>
      <c r="K162" s="433">
        <f t="shared" si="7"/>
        <v>100</v>
      </c>
    </row>
    <row r="163" spans="1:11" ht="24">
      <c r="A163" s="87" t="s">
        <v>743</v>
      </c>
      <c r="B163" s="82" t="s">
        <v>1776</v>
      </c>
      <c r="C163" s="83" t="s">
        <v>584</v>
      </c>
      <c r="D163" s="83" t="s">
        <v>142</v>
      </c>
      <c r="E163" s="83" t="s">
        <v>997</v>
      </c>
      <c r="F163" s="83" t="s">
        <v>744</v>
      </c>
      <c r="G163" s="90">
        <f>G164+G165</f>
        <v>0</v>
      </c>
      <c r="H163" s="90">
        <f>H164+H165</f>
        <v>4774.1</v>
      </c>
      <c r="I163" s="422">
        <f>I164+I165</f>
        <v>4288</v>
      </c>
      <c r="J163" s="203"/>
      <c r="K163" s="433">
        <f t="shared" si="7"/>
        <v>89.81797616304644</v>
      </c>
    </row>
    <row r="164" spans="1:11" ht="24">
      <c r="A164" s="87" t="s">
        <v>745</v>
      </c>
      <c r="B164" s="82" t="s">
        <v>1776</v>
      </c>
      <c r="C164" s="83" t="s">
        <v>584</v>
      </c>
      <c r="D164" s="83" t="s">
        <v>142</v>
      </c>
      <c r="E164" s="83" t="s">
        <v>997</v>
      </c>
      <c r="F164" s="83" t="s">
        <v>746</v>
      </c>
      <c r="G164" s="90"/>
      <c r="H164" s="90">
        <f>3890+184.1</f>
        <v>4074.1</v>
      </c>
      <c r="I164" s="422">
        <v>3589.5</v>
      </c>
      <c r="J164" s="203"/>
      <c r="K164" s="433">
        <f t="shared" si="7"/>
        <v>88.10534842051005</v>
      </c>
    </row>
    <row r="165" spans="1:11" ht="24">
      <c r="A165" s="87" t="s">
        <v>486</v>
      </c>
      <c r="B165" s="82" t="s">
        <v>1776</v>
      </c>
      <c r="C165" s="83" t="s">
        <v>584</v>
      </c>
      <c r="D165" s="83" t="s">
        <v>142</v>
      </c>
      <c r="E165" s="83" t="s">
        <v>997</v>
      </c>
      <c r="F165" s="83" t="s">
        <v>1637</v>
      </c>
      <c r="G165" s="90">
        <f>G166</f>
        <v>0</v>
      </c>
      <c r="H165" s="90">
        <f>H166</f>
        <v>700</v>
      </c>
      <c r="I165" s="422">
        <f>I166</f>
        <v>698.5</v>
      </c>
      <c r="J165" s="203"/>
      <c r="K165" s="433">
        <f t="shared" si="7"/>
        <v>99.78571428571429</v>
      </c>
    </row>
    <row r="166" spans="1:11" ht="18.75" customHeight="1">
      <c r="A166" s="87" t="s">
        <v>1752</v>
      </c>
      <c r="B166" s="82" t="s">
        <v>1776</v>
      </c>
      <c r="C166" s="83" t="s">
        <v>584</v>
      </c>
      <c r="D166" s="83" t="s">
        <v>142</v>
      </c>
      <c r="E166" s="83" t="s">
        <v>997</v>
      </c>
      <c r="F166" s="83" t="s">
        <v>1637</v>
      </c>
      <c r="G166" s="90"/>
      <c r="H166" s="90">
        <v>700</v>
      </c>
      <c r="I166" s="422">
        <v>698.5</v>
      </c>
      <c r="J166" s="203"/>
      <c r="K166" s="433">
        <f t="shared" si="7"/>
        <v>99.78571428571429</v>
      </c>
    </row>
    <row r="167" spans="1:11" ht="24.75" customHeight="1">
      <c r="A167" s="87" t="s">
        <v>295</v>
      </c>
      <c r="B167" s="82" t="s">
        <v>1776</v>
      </c>
      <c r="C167" s="83" t="s">
        <v>584</v>
      </c>
      <c r="D167" s="83" t="s">
        <v>142</v>
      </c>
      <c r="E167" s="83" t="s">
        <v>997</v>
      </c>
      <c r="F167" s="83" t="s">
        <v>296</v>
      </c>
      <c r="G167" s="90">
        <f>G168+G169</f>
        <v>0</v>
      </c>
      <c r="H167" s="90">
        <f>H168+H169</f>
        <v>108605.9</v>
      </c>
      <c r="I167" s="422">
        <f>I168+I169</f>
        <v>107157.20000000001</v>
      </c>
      <c r="J167" s="203"/>
      <c r="K167" s="433">
        <f t="shared" si="7"/>
        <v>98.66609456760638</v>
      </c>
    </row>
    <row r="168" spans="1:11" ht="19.5" customHeight="1">
      <c r="A168" s="87" t="s">
        <v>303</v>
      </c>
      <c r="B168" s="82" t="s">
        <v>1776</v>
      </c>
      <c r="C168" s="83" t="s">
        <v>584</v>
      </c>
      <c r="D168" s="83" t="s">
        <v>142</v>
      </c>
      <c r="E168" s="83" t="s">
        <v>997</v>
      </c>
      <c r="F168" s="83" t="s">
        <v>304</v>
      </c>
      <c r="G168" s="90"/>
      <c r="H168" s="90">
        <f>97870-36-45.6+4115.9-107.9</f>
        <v>101796.4</v>
      </c>
      <c r="I168" s="422">
        <v>100396.1</v>
      </c>
      <c r="J168" s="203"/>
      <c r="K168" s="433">
        <f t="shared" si="7"/>
        <v>98.6244110793702</v>
      </c>
    </row>
    <row r="169" spans="1:11" ht="22.5" customHeight="1">
      <c r="A169" s="87" t="s">
        <v>305</v>
      </c>
      <c r="B169" s="82" t="s">
        <v>1776</v>
      </c>
      <c r="C169" s="83" t="s">
        <v>584</v>
      </c>
      <c r="D169" s="83" t="s">
        <v>142</v>
      </c>
      <c r="E169" s="83" t="s">
        <v>997</v>
      </c>
      <c r="F169" s="83" t="s">
        <v>801</v>
      </c>
      <c r="G169" s="90"/>
      <c r="H169" s="90">
        <f>H170+H171+H172</f>
        <v>6809.5</v>
      </c>
      <c r="I169" s="422">
        <f>I170+I171+I172</f>
        <v>6761.1</v>
      </c>
      <c r="J169" s="203"/>
      <c r="K169" s="433">
        <f t="shared" si="7"/>
        <v>99.28922828401498</v>
      </c>
    </row>
    <row r="170" spans="1:11" ht="41.25" customHeight="1">
      <c r="A170" s="87" t="s">
        <v>1332</v>
      </c>
      <c r="B170" s="82" t="s">
        <v>1776</v>
      </c>
      <c r="C170" s="83" t="s">
        <v>584</v>
      </c>
      <c r="D170" s="83" t="s">
        <v>142</v>
      </c>
      <c r="E170" s="83" t="s">
        <v>997</v>
      </c>
      <c r="F170" s="83" t="s">
        <v>801</v>
      </c>
      <c r="G170" s="90"/>
      <c r="H170" s="90">
        <v>700</v>
      </c>
      <c r="I170" s="422">
        <v>698.8</v>
      </c>
      <c r="J170" s="203"/>
      <c r="K170" s="433">
        <f t="shared" si="7"/>
        <v>99.82857142857142</v>
      </c>
    </row>
    <row r="171" spans="1:11" ht="24.75" customHeight="1">
      <c r="A171" s="87" t="s">
        <v>489</v>
      </c>
      <c r="B171" s="82" t="s">
        <v>1776</v>
      </c>
      <c r="C171" s="83" t="s">
        <v>584</v>
      </c>
      <c r="D171" s="83" t="s">
        <v>142</v>
      </c>
      <c r="E171" s="83" t="s">
        <v>997</v>
      </c>
      <c r="F171" s="83" t="s">
        <v>801</v>
      </c>
      <c r="G171" s="90"/>
      <c r="H171" s="90">
        <f>2738+500.6+83.2-113.7</f>
        <v>3208.1</v>
      </c>
      <c r="I171" s="422">
        <v>3160.9</v>
      </c>
      <c r="J171" s="203"/>
      <c r="K171" s="433">
        <f t="shared" si="7"/>
        <v>98.52872416695241</v>
      </c>
    </row>
    <row r="172" spans="1:11" ht="24">
      <c r="A172" s="92" t="s">
        <v>1702</v>
      </c>
      <c r="B172" s="82" t="s">
        <v>1776</v>
      </c>
      <c r="C172" s="83" t="s">
        <v>584</v>
      </c>
      <c r="D172" s="83" t="s">
        <v>142</v>
      </c>
      <c r="E172" s="83" t="s">
        <v>997</v>
      </c>
      <c r="F172" s="83" t="s">
        <v>801</v>
      </c>
      <c r="G172" s="90"/>
      <c r="H172" s="90">
        <v>2901.4</v>
      </c>
      <c r="I172" s="422">
        <v>2901.4</v>
      </c>
      <c r="J172" s="203"/>
      <c r="K172" s="433">
        <f t="shared" si="7"/>
        <v>100</v>
      </c>
    </row>
    <row r="173" spans="1:11" ht="24">
      <c r="A173" s="87" t="s">
        <v>1333</v>
      </c>
      <c r="B173" s="82" t="s">
        <v>1776</v>
      </c>
      <c r="C173" s="83" t="s">
        <v>584</v>
      </c>
      <c r="D173" s="83" t="s">
        <v>142</v>
      </c>
      <c r="E173" s="83" t="s">
        <v>491</v>
      </c>
      <c r="F173" s="83" t="s">
        <v>1071</v>
      </c>
      <c r="G173" s="90">
        <f aca="true" t="shared" si="9" ref="G173:I174">G174</f>
        <v>0</v>
      </c>
      <c r="H173" s="90">
        <f t="shared" si="9"/>
        <v>9908.5</v>
      </c>
      <c r="I173" s="422">
        <f t="shared" si="9"/>
        <v>8510.9</v>
      </c>
      <c r="J173" s="203"/>
      <c r="K173" s="433">
        <f t="shared" si="7"/>
        <v>85.89493868900439</v>
      </c>
    </row>
    <row r="174" spans="1:11" ht="24">
      <c r="A174" s="87" t="s">
        <v>743</v>
      </c>
      <c r="B174" s="82" t="s">
        <v>1776</v>
      </c>
      <c r="C174" s="83" t="s">
        <v>584</v>
      </c>
      <c r="D174" s="83" t="s">
        <v>142</v>
      </c>
      <c r="E174" s="83" t="s">
        <v>491</v>
      </c>
      <c r="F174" s="83" t="s">
        <v>744</v>
      </c>
      <c r="G174" s="90">
        <f t="shared" si="9"/>
        <v>0</v>
      </c>
      <c r="H174" s="90">
        <f t="shared" si="9"/>
        <v>9908.5</v>
      </c>
      <c r="I174" s="422">
        <f t="shared" si="9"/>
        <v>8510.9</v>
      </c>
      <c r="J174" s="203"/>
      <c r="K174" s="433">
        <f t="shared" si="7"/>
        <v>85.89493868900439</v>
      </c>
    </row>
    <row r="175" spans="1:11" ht="24">
      <c r="A175" s="87" t="s">
        <v>745</v>
      </c>
      <c r="B175" s="82" t="s">
        <v>1776</v>
      </c>
      <c r="C175" s="83" t="s">
        <v>584</v>
      </c>
      <c r="D175" s="83" t="s">
        <v>142</v>
      </c>
      <c r="E175" s="83" t="s">
        <v>491</v>
      </c>
      <c r="F175" s="83" t="s">
        <v>746</v>
      </c>
      <c r="G175" s="90"/>
      <c r="H175" s="90">
        <f>10078+228.5-20-378</f>
        <v>9908.5</v>
      </c>
      <c r="I175" s="422">
        <v>8510.9</v>
      </c>
      <c r="J175" s="203"/>
      <c r="K175" s="433">
        <f t="shared" si="7"/>
        <v>85.89493868900439</v>
      </c>
    </row>
    <row r="176" spans="1:11" ht="36">
      <c r="A176" s="87" t="s">
        <v>492</v>
      </c>
      <c r="B176" s="82" t="s">
        <v>1776</v>
      </c>
      <c r="C176" s="83" t="s">
        <v>584</v>
      </c>
      <c r="D176" s="83" t="s">
        <v>142</v>
      </c>
      <c r="E176" s="83" t="s">
        <v>493</v>
      </c>
      <c r="F176" s="83" t="s">
        <v>1071</v>
      </c>
      <c r="G176" s="90">
        <f>G177+G178+G184</f>
        <v>0</v>
      </c>
      <c r="H176" s="90">
        <f>H177+H178+H184</f>
        <v>13897.9</v>
      </c>
      <c r="I176" s="422">
        <f>I177+I178+I184</f>
        <v>13427.3</v>
      </c>
      <c r="J176" s="203"/>
      <c r="K176" s="433">
        <f t="shared" si="7"/>
        <v>96.61387691665647</v>
      </c>
    </row>
    <row r="177" spans="1:11" ht="24">
      <c r="A177" s="87" t="s">
        <v>494</v>
      </c>
      <c r="B177" s="82" t="s">
        <v>1776</v>
      </c>
      <c r="C177" s="83" t="s">
        <v>584</v>
      </c>
      <c r="D177" s="83" t="s">
        <v>142</v>
      </c>
      <c r="E177" s="83" t="s">
        <v>493</v>
      </c>
      <c r="F177" s="83" t="s">
        <v>742</v>
      </c>
      <c r="G177" s="90"/>
      <c r="H177" s="90">
        <v>350</v>
      </c>
      <c r="I177" s="422">
        <v>350</v>
      </c>
      <c r="J177" s="203"/>
      <c r="K177" s="433">
        <f t="shared" si="7"/>
        <v>100</v>
      </c>
    </row>
    <row r="178" spans="1:11" ht="24">
      <c r="A178" s="87" t="s">
        <v>743</v>
      </c>
      <c r="B178" s="82" t="s">
        <v>1776</v>
      </c>
      <c r="C178" s="83" t="s">
        <v>584</v>
      </c>
      <c r="D178" s="83" t="s">
        <v>142</v>
      </c>
      <c r="E178" s="83" t="s">
        <v>493</v>
      </c>
      <c r="F178" s="83" t="s">
        <v>744</v>
      </c>
      <c r="G178" s="90">
        <f>G179+G180</f>
        <v>0</v>
      </c>
      <c r="H178" s="90">
        <f>H179+H180</f>
        <v>7846</v>
      </c>
      <c r="I178" s="422">
        <f>I179+I180</f>
        <v>7385.5</v>
      </c>
      <c r="J178" s="203"/>
      <c r="K178" s="433">
        <f t="shared" si="7"/>
        <v>94.13076726994647</v>
      </c>
    </row>
    <row r="179" spans="1:11" ht="24">
      <c r="A179" s="87" t="s">
        <v>745</v>
      </c>
      <c r="B179" s="82" t="s">
        <v>1776</v>
      </c>
      <c r="C179" s="83" t="s">
        <v>584</v>
      </c>
      <c r="D179" s="83" t="s">
        <v>142</v>
      </c>
      <c r="E179" s="83" t="s">
        <v>493</v>
      </c>
      <c r="F179" s="83" t="s">
        <v>746</v>
      </c>
      <c r="G179" s="90"/>
      <c r="H179" s="90">
        <f>6985+350</f>
        <v>7335</v>
      </c>
      <c r="I179" s="422">
        <v>6874.5</v>
      </c>
      <c r="J179" s="203"/>
      <c r="K179" s="433">
        <f t="shared" si="7"/>
        <v>93.72188139059304</v>
      </c>
    </row>
    <row r="180" spans="1:11" ht="24">
      <c r="A180" s="87" t="s">
        <v>486</v>
      </c>
      <c r="B180" s="82" t="s">
        <v>1776</v>
      </c>
      <c r="C180" s="83" t="s">
        <v>584</v>
      </c>
      <c r="D180" s="83" t="s">
        <v>142</v>
      </c>
      <c r="E180" s="83" t="s">
        <v>493</v>
      </c>
      <c r="F180" s="83" t="s">
        <v>1637</v>
      </c>
      <c r="G180" s="90">
        <f>G181+G182+G183</f>
        <v>0</v>
      </c>
      <c r="H180" s="90">
        <f>H181+H182+H183</f>
        <v>511</v>
      </c>
      <c r="I180" s="422">
        <f>I181+I182+I183</f>
        <v>511</v>
      </c>
      <c r="J180" s="203"/>
      <c r="K180" s="433">
        <f t="shared" si="7"/>
        <v>100</v>
      </c>
    </row>
    <row r="181" spans="1:11" ht="24">
      <c r="A181" s="87" t="s">
        <v>1332</v>
      </c>
      <c r="B181" s="82" t="s">
        <v>1776</v>
      </c>
      <c r="C181" s="83" t="s">
        <v>584</v>
      </c>
      <c r="D181" s="83" t="s">
        <v>142</v>
      </c>
      <c r="E181" s="83" t="s">
        <v>493</v>
      </c>
      <c r="F181" s="83" t="s">
        <v>1637</v>
      </c>
      <c r="G181" s="90"/>
      <c r="H181" s="90">
        <v>150</v>
      </c>
      <c r="I181" s="422">
        <v>150</v>
      </c>
      <c r="J181" s="203"/>
      <c r="K181" s="433">
        <f t="shared" si="7"/>
        <v>100</v>
      </c>
    </row>
    <row r="182" spans="1:11" ht="36">
      <c r="A182" s="87" t="s">
        <v>1334</v>
      </c>
      <c r="B182" s="82" t="s">
        <v>1776</v>
      </c>
      <c r="C182" s="83" t="s">
        <v>584</v>
      </c>
      <c r="D182" s="83" t="s">
        <v>142</v>
      </c>
      <c r="E182" s="83" t="s">
        <v>493</v>
      </c>
      <c r="F182" s="83" t="s">
        <v>1637</v>
      </c>
      <c r="G182" s="90"/>
      <c r="H182" s="90">
        <v>180</v>
      </c>
      <c r="I182" s="422">
        <v>180</v>
      </c>
      <c r="J182" s="203"/>
      <c r="K182" s="433">
        <f t="shared" si="7"/>
        <v>100</v>
      </c>
    </row>
    <row r="183" spans="1:11" ht="24">
      <c r="A183" s="87" t="s">
        <v>1007</v>
      </c>
      <c r="B183" s="82" t="s">
        <v>1776</v>
      </c>
      <c r="C183" s="83" t="s">
        <v>584</v>
      </c>
      <c r="D183" s="83" t="s">
        <v>142</v>
      </c>
      <c r="E183" s="83" t="s">
        <v>493</v>
      </c>
      <c r="F183" s="83" t="s">
        <v>1637</v>
      </c>
      <c r="G183" s="90"/>
      <c r="H183" s="90">
        <v>181</v>
      </c>
      <c r="I183" s="422">
        <v>181</v>
      </c>
      <c r="J183" s="203"/>
      <c r="K183" s="433">
        <f t="shared" si="7"/>
        <v>100</v>
      </c>
    </row>
    <row r="184" spans="1:11" ht="24">
      <c r="A184" s="87" t="s">
        <v>295</v>
      </c>
      <c r="B184" s="82" t="s">
        <v>1776</v>
      </c>
      <c r="C184" s="83" t="s">
        <v>584</v>
      </c>
      <c r="D184" s="83" t="s">
        <v>142</v>
      </c>
      <c r="E184" s="83" t="s">
        <v>493</v>
      </c>
      <c r="F184" s="83" t="s">
        <v>296</v>
      </c>
      <c r="G184" s="90">
        <f>G185+G186</f>
        <v>0</v>
      </c>
      <c r="H184" s="90">
        <f>H185+H186</f>
        <v>5701.9</v>
      </c>
      <c r="I184" s="422">
        <f>I185+I186</f>
        <v>5691.799999999999</v>
      </c>
      <c r="J184" s="203"/>
      <c r="K184" s="433">
        <f t="shared" si="7"/>
        <v>99.82286606218979</v>
      </c>
    </row>
    <row r="185" spans="1:11" ht="24">
      <c r="A185" s="87" t="s">
        <v>303</v>
      </c>
      <c r="B185" s="82" t="s">
        <v>1776</v>
      </c>
      <c r="C185" s="83" t="s">
        <v>584</v>
      </c>
      <c r="D185" s="83" t="s">
        <v>142</v>
      </c>
      <c r="E185" s="83" t="s">
        <v>493</v>
      </c>
      <c r="F185" s="83" t="s">
        <v>304</v>
      </c>
      <c r="G185" s="90"/>
      <c r="H185" s="90">
        <v>1004</v>
      </c>
      <c r="I185" s="422">
        <v>993.9</v>
      </c>
      <c r="J185" s="203"/>
      <c r="K185" s="433">
        <f t="shared" si="7"/>
        <v>98.99402390438247</v>
      </c>
    </row>
    <row r="186" spans="1:11" ht="24">
      <c r="A186" s="87" t="s">
        <v>1008</v>
      </c>
      <c r="B186" s="82" t="s">
        <v>1776</v>
      </c>
      <c r="C186" s="83" t="s">
        <v>584</v>
      </c>
      <c r="D186" s="83" t="s">
        <v>142</v>
      </c>
      <c r="E186" s="83" t="s">
        <v>493</v>
      </c>
      <c r="F186" s="83" t="s">
        <v>801</v>
      </c>
      <c r="G186" s="90">
        <f>G187</f>
        <v>0</v>
      </c>
      <c r="H186" s="90">
        <f>H187</f>
        <v>4697.9</v>
      </c>
      <c r="I186" s="422">
        <f>I187</f>
        <v>4697.9</v>
      </c>
      <c r="J186" s="203"/>
      <c r="K186" s="433">
        <f t="shared" si="7"/>
        <v>100</v>
      </c>
    </row>
    <row r="187" spans="1:11" ht="24">
      <c r="A187" s="87" t="s">
        <v>197</v>
      </c>
      <c r="B187" s="82" t="s">
        <v>1776</v>
      </c>
      <c r="C187" s="83" t="s">
        <v>584</v>
      </c>
      <c r="D187" s="83" t="s">
        <v>142</v>
      </c>
      <c r="E187" s="83" t="s">
        <v>493</v>
      </c>
      <c r="F187" s="83" t="s">
        <v>801</v>
      </c>
      <c r="G187" s="90"/>
      <c r="H187" s="90">
        <f>4697.9</f>
        <v>4697.9</v>
      </c>
      <c r="I187" s="422">
        <v>4697.9</v>
      </c>
      <c r="J187" s="203"/>
      <c r="K187" s="433">
        <f t="shared" si="7"/>
        <v>100</v>
      </c>
    </row>
    <row r="188" spans="1:11" ht="24">
      <c r="A188" s="87" t="s">
        <v>198</v>
      </c>
      <c r="B188" s="82" t="s">
        <v>1776</v>
      </c>
      <c r="C188" s="83" t="s">
        <v>584</v>
      </c>
      <c r="D188" s="83" t="s">
        <v>142</v>
      </c>
      <c r="E188" s="83" t="s">
        <v>199</v>
      </c>
      <c r="F188" s="83" t="s">
        <v>1071</v>
      </c>
      <c r="G188" s="90">
        <f aca="true" t="shared" si="10" ref="G188:I189">G189</f>
        <v>0</v>
      </c>
      <c r="H188" s="90">
        <f t="shared" si="10"/>
        <v>7654</v>
      </c>
      <c r="I188" s="422">
        <f t="shared" si="10"/>
        <v>7358</v>
      </c>
      <c r="J188" s="203"/>
      <c r="K188" s="433">
        <f t="shared" si="7"/>
        <v>96.13274105043115</v>
      </c>
    </row>
    <row r="189" spans="1:11" ht="24">
      <c r="A189" s="87" t="s">
        <v>743</v>
      </c>
      <c r="B189" s="82" t="s">
        <v>1776</v>
      </c>
      <c r="C189" s="83" t="s">
        <v>584</v>
      </c>
      <c r="D189" s="83" t="s">
        <v>142</v>
      </c>
      <c r="E189" s="83" t="s">
        <v>199</v>
      </c>
      <c r="F189" s="83" t="s">
        <v>744</v>
      </c>
      <c r="G189" s="90">
        <f t="shared" si="10"/>
        <v>0</v>
      </c>
      <c r="H189" s="90">
        <f t="shared" si="10"/>
        <v>7654</v>
      </c>
      <c r="I189" s="422">
        <f t="shared" si="10"/>
        <v>7358</v>
      </c>
      <c r="J189" s="203"/>
      <c r="K189" s="433">
        <f t="shared" si="7"/>
        <v>96.13274105043115</v>
      </c>
    </row>
    <row r="190" spans="1:11" ht="24">
      <c r="A190" s="87" t="s">
        <v>745</v>
      </c>
      <c r="B190" s="82" t="s">
        <v>1776</v>
      </c>
      <c r="C190" s="83" t="s">
        <v>584</v>
      </c>
      <c r="D190" s="83" t="s">
        <v>142</v>
      </c>
      <c r="E190" s="83" t="s">
        <v>199</v>
      </c>
      <c r="F190" s="83" t="s">
        <v>746</v>
      </c>
      <c r="G190" s="90"/>
      <c r="H190" s="90">
        <v>7654</v>
      </c>
      <c r="I190" s="422">
        <v>7358</v>
      </c>
      <c r="J190" s="203"/>
      <c r="K190" s="433">
        <f t="shared" si="7"/>
        <v>96.13274105043115</v>
      </c>
    </row>
    <row r="191" spans="1:11" ht="36" hidden="1">
      <c r="A191" s="87" t="s">
        <v>200</v>
      </c>
      <c r="B191" s="82" t="s">
        <v>1776</v>
      </c>
      <c r="C191" s="83" t="s">
        <v>584</v>
      </c>
      <c r="D191" s="83" t="s">
        <v>142</v>
      </c>
      <c r="E191" s="83" t="s">
        <v>201</v>
      </c>
      <c r="F191" s="83" t="s">
        <v>1071</v>
      </c>
      <c r="G191" s="90">
        <f>G192</f>
        <v>0</v>
      </c>
      <c r="H191" s="90">
        <f>H192</f>
        <v>0</v>
      </c>
      <c r="I191" s="422">
        <f>I192</f>
        <v>0</v>
      </c>
      <c r="J191" s="203" t="e">
        <f>I191/G191*100</f>
        <v>#DIV/0!</v>
      </c>
      <c r="K191" s="433" t="e">
        <f t="shared" si="7"/>
        <v>#DIV/0!</v>
      </c>
    </row>
    <row r="192" spans="1:11" ht="24" hidden="1">
      <c r="A192" s="87" t="s">
        <v>303</v>
      </c>
      <c r="B192" s="82" t="s">
        <v>1776</v>
      </c>
      <c r="C192" s="83" t="s">
        <v>584</v>
      </c>
      <c r="D192" s="83" t="s">
        <v>142</v>
      </c>
      <c r="E192" s="83" t="s">
        <v>201</v>
      </c>
      <c r="F192" s="83" t="s">
        <v>304</v>
      </c>
      <c r="G192" s="90"/>
      <c r="H192" s="90"/>
      <c r="I192" s="422"/>
      <c r="J192" s="203" t="e">
        <f>I192/G192*100</f>
        <v>#DIV/0!</v>
      </c>
      <c r="K192" s="433" t="e">
        <f t="shared" si="7"/>
        <v>#DIV/0!</v>
      </c>
    </row>
    <row r="193" spans="1:11" ht="24">
      <c r="A193" s="87" t="s">
        <v>1156</v>
      </c>
      <c r="B193" s="82" t="s">
        <v>1776</v>
      </c>
      <c r="C193" s="83" t="s">
        <v>584</v>
      </c>
      <c r="D193" s="83" t="s">
        <v>142</v>
      </c>
      <c r="E193" s="83" t="s">
        <v>741</v>
      </c>
      <c r="F193" s="83" t="s">
        <v>1071</v>
      </c>
      <c r="G193" s="90">
        <f aca="true" t="shared" si="11" ref="G193:I194">G194</f>
        <v>204</v>
      </c>
      <c r="H193" s="90">
        <f t="shared" si="11"/>
        <v>204</v>
      </c>
      <c r="I193" s="422">
        <f t="shared" si="11"/>
        <v>170.3</v>
      </c>
      <c r="J193" s="203">
        <f>I193/G193*100</f>
        <v>83.48039215686275</v>
      </c>
      <c r="K193" s="433">
        <f t="shared" si="7"/>
        <v>83.48039215686275</v>
      </c>
    </row>
    <row r="194" spans="1:11" ht="24">
      <c r="A194" s="87" t="s">
        <v>295</v>
      </c>
      <c r="B194" s="82" t="s">
        <v>1776</v>
      </c>
      <c r="C194" s="83" t="s">
        <v>584</v>
      </c>
      <c r="D194" s="83" t="s">
        <v>142</v>
      </c>
      <c r="E194" s="83" t="s">
        <v>741</v>
      </c>
      <c r="F194" s="83" t="s">
        <v>296</v>
      </c>
      <c r="G194" s="90">
        <f t="shared" si="11"/>
        <v>204</v>
      </c>
      <c r="H194" s="90">
        <f t="shared" si="11"/>
        <v>204</v>
      </c>
      <c r="I194" s="422">
        <f t="shared" si="11"/>
        <v>170.3</v>
      </c>
      <c r="J194" s="203">
        <f>I194/G194*100</f>
        <v>83.48039215686275</v>
      </c>
      <c r="K194" s="433">
        <f t="shared" si="7"/>
        <v>83.48039215686275</v>
      </c>
    </row>
    <row r="195" spans="1:11" ht="24">
      <c r="A195" s="87" t="s">
        <v>303</v>
      </c>
      <c r="B195" s="82" t="s">
        <v>1776</v>
      </c>
      <c r="C195" s="83" t="s">
        <v>584</v>
      </c>
      <c r="D195" s="83" t="s">
        <v>142</v>
      </c>
      <c r="E195" s="83" t="s">
        <v>741</v>
      </c>
      <c r="F195" s="83" t="s">
        <v>304</v>
      </c>
      <c r="G195" s="90">
        <v>204</v>
      </c>
      <c r="H195" s="90">
        <v>204</v>
      </c>
      <c r="I195" s="422">
        <v>170.3</v>
      </c>
      <c r="J195" s="203">
        <f>I195/G195*100</f>
        <v>83.48039215686275</v>
      </c>
      <c r="K195" s="433">
        <f t="shared" si="7"/>
        <v>83.48039215686275</v>
      </c>
    </row>
    <row r="196" spans="1:11" ht="48">
      <c r="A196" s="87" t="s">
        <v>1335</v>
      </c>
      <c r="B196" s="82" t="s">
        <v>1776</v>
      </c>
      <c r="C196" s="83" t="s">
        <v>584</v>
      </c>
      <c r="D196" s="83" t="s">
        <v>142</v>
      </c>
      <c r="E196" s="83" t="s">
        <v>1158</v>
      </c>
      <c r="F196" s="83" t="s">
        <v>1071</v>
      </c>
      <c r="G196" s="90">
        <f>G197+G202</f>
        <v>0</v>
      </c>
      <c r="H196" s="90">
        <f>H197+H202</f>
        <v>5510.8</v>
      </c>
      <c r="I196" s="422">
        <f>I197+I202</f>
        <v>4788.299999999999</v>
      </c>
      <c r="J196" s="203"/>
      <c r="K196" s="433">
        <f t="shared" si="7"/>
        <v>86.88938085214485</v>
      </c>
    </row>
    <row r="197" spans="1:11" ht="48">
      <c r="A197" s="87" t="s">
        <v>1336</v>
      </c>
      <c r="B197" s="82" t="s">
        <v>1776</v>
      </c>
      <c r="C197" s="83" t="s">
        <v>584</v>
      </c>
      <c r="D197" s="83" t="s">
        <v>142</v>
      </c>
      <c r="E197" s="83" t="s">
        <v>1160</v>
      </c>
      <c r="F197" s="83" t="s">
        <v>1071</v>
      </c>
      <c r="G197" s="90">
        <f>G198+G200</f>
        <v>0</v>
      </c>
      <c r="H197" s="90">
        <f>H198+H200</f>
        <v>2871.8</v>
      </c>
      <c r="I197" s="422">
        <f>I198+I200</f>
        <v>2831.2</v>
      </c>
      <c r="J197" s="203"/>
      <c r="K197" s="433">
        <f t="shared" si="7"/>
        <v>98.58625252454905</v>
      </c>
    </row>
    <row r="198" spans="1:11" ht="24">
      <c r="A198" s="87" t="s">
        <v>743</v>
      </c>
      <c r="B198" s="82" t="s">
        <v>1776</v>
      </c>
      <c r="C198" s="83" t="s">
        <v>584</v>
      </c>
      <c r="D198" s="83" t="s">
        <v>142</v>
      </c>
      <c r="E198" s="83" t="s">
        <v>1160</v>
      </c>
      <c r="F198" s="83" t="s">
        <v>744</v>
      </c>
      <c r="G198" s="90">
        <f>G199</f>
        <v>0</v>
      </c>
      <c r="H198" s="90">
        <f>H199</f>
        <v>57</v>
      </c>
      <c r="I198" s="422">
        <f>I199</f>
        <v>26</v>
      </c>
      <c r="J198" s="203"/>
      <c r="K198" s="433">
        <f t="shared" si="7"/>
        <v>45.614035087719294</v>
      </c>
    </row>
    <row r="199" spans="1:11" ht="24">
      <c r="A199" s="87" t="s">
        <v>745</v>
      </c>
      <c r="B199" s="82" t="s">
        <v>1776</v>
      </c>
      <c r="C199" s="83" t="s">
        <v>584</v>
      </c>
      <c r="D199" s="83" t="s">
        <v>142</v>
      </c>
      <c r="E199" s="83" t="s">
        <v>1160</v>
      </c>
      <c r="F199" s="83" t="s">
        <v>746</v>
      </c>
      <c r="G199" s="90"/>
      <c r="H199" s="90">
        <v>57</v>
      </c>
      <c r="I199" s="422">
        <v>26</v>
      </c>
      <c r="J199" s="203"/>
      <c r="K199" s="433">
        <f t="shared" si="7"/>
        <v>45.614035087719294</v>
      </c>
    </row>
    <row r="200" spans="1:11" ht="24">
      <c r="A200" s="87" t="s">
        <v>295</v>
      </c>
      <c r="B200" s="82" t="s">
        <v>1776</v>
      </c>
      <c r="C200" s="83" t="s">
        <v>584</v>
      </c>
      <c r="D200" s="83" t="s">
        <v>142</v>
      </c>
      <c r="E200" s="83" t="s">
        <v>1160</v>
      </c>
      <c r="F200" s="83" t="s">
        <v>296</v>
      </c>
      <c r="G200" s="90">
        <f>G201</f>
        <v>0</v>
      </c>
      <c r="H200" s="90">
        <f>H201</f>
        <v>2814.8</v>
      </c>
      <c r="I200" s="422">
        <f>I201</f>
        <v>2805.2</v>
      </c>
      <c r="J200" s="203"/>
      <c r="K200" s="433">
        <f t="shared" si="7"/>
        <v>99.65894557339774</v>
      </c>
    </row>
    <row r="201" spans="1:11" ht="24">
      <c r="A201" s="87" t="s">
        <v>303</v>
      </c>
      <c r="B201" s="82" t="s">
        <v>1776</v>
      </c>
      <c r="C201" s="83" t="s">
        <v>584</v>
      </c>
      <c r="D201" s="83" t="s">
        <v>142</v>
      </c>
      <c r="E201" s="83" t="s">
        <v>1160</v>
      </c>
      <c r="F201" s="83" t="s">
        <v>304</v>
      </c>
      <c r="G201" s="90"/>
      <c r="H201" s="90">
        <f>2706.9+107.9</f>
        <v>2814.8</v>
      </c>
      <c r="I201" s="422">
        <v>2805.2</v>
      </c>
      <c r="J201" s="203"/>
      <c r="K201" s="433">
        <f t="shared" si="7"/>
        <v>99.65894557339774</v>
      </c>
    </row>
    <row r="202" spans="1:11" ht="48">
      <c r="A202" s="87" t="s">
        <v>1161</v>
      </c>
      <c r="B202" s="82" t="s">
        <v>1776</v>
      </c>
      <c r="C202" s="83" t="s">
        <v>584</v>
      </c>
      <c r="D202" s="83" t="s">
        <v>142</v>
      </c>
      <c r="E202" s="83" t="s">
        <v>1162</v>
      </c>
      <c r="F202" s="83" t="s">
        <v>1071</v>
      </c>
      <c r="G202" s="90">
        <f aca="true" t="shared" si="12" ref="G202:I203">G203</f>
        <v>0</v>
      </c>
      <c r="H202" s="90">
        <f t="shared" si="12"/>
        <v>2639</v>
      </c>
      <c r="I202" s="422">
        <f t="shared" si="12"/>
        <v>1957.1</v>
      </c>
      <c r="J202" s="203"/>
      <c r="K202" s="433">
        <f t="shared" si="7"/>
        <v>74.1606669192876</v>
      </c>
    </row>
    <row r="203" spans="1:11" ht="24">
      <c r="A203" s="87" t="s">
        <v>743</v>
      </c>
      <c r="B203" s="82" t="s">
        <v>1776</v>
      </c>
      <c r="C203" s="83" t="s">
        <v>584</v>
      </c>
      <c r="D203" s="83" t="s">
        <v>142</v>
      </c>
      <c r="E203" s="83" t="s">
        <v>1162</v>
      </c>
      <c r="F203" s="83" t="s">
        <v>744</v>
      </c>
      <c r="G203" s="90">
        <f t="shared" si="12"/>
        <v>0</v>
      </c>
      <c r="H203" s="90">
        <f t="shared" si="12"/>
        <v>2639</v>
      </c>
      <c r="I203" s="422">
        <f t="shared" si="12"/>
        <v>1957.1</v>
      </c>
      <c r="J203" s="203"/>
      <c r="K203" s="433">
        <f t="shared" si="7"/>
        <v>74.1606669192876</v>
      </c>
    </row>
    <row r="204" spans="1:11" ht="24">
      <c r="A204" s="87" t="s">
        <v>745</v>
      </c>
      <c r="B204" s="82" t="s">
        <v>1776</v>
      </c>
      <c r="C204" s="83" t="s">
        <v>584</v>
      </c>
      <c r="D204" s="83" t="s">
        <v>142</v>
      </c>
      <c r="E204" s="83" t="s">
        <v>1162</v>
      </c>
      <c r="F204" s="83" t="s">
        <v>746</v>
      </c>
      <c r="G204" s="90"/>
      <c r="H204" s="90">
        <f>3139-500</f>
        <v>2639</v>
      </c>
      <c r="I204" s="422">
        <v>1957.1</v>
      </c>
      <c r="J204" s="203"/>
      <c r="K204" s="433">
        <f aca="true" t="shared" si="13" ref="K204:K217">I204/H204*100</f>
        <v>74.1606669192876</v>
      </c>
    </row>
    <row r="205" spans="1:11" ht="16.5" customHeight="1" hidden="1">
      <c r="A205" s="106" t="s">
        <v>1299</v>
      </c>
      <c r="B205" s="82" t="s">
        <v>1776</v>
      </c>
      <c r="C205" s="85" t="s">
        <v>584</v>
      </c>
      <c r="D205" s="85" t="s">
        <v>1598</v>
      </c>
      <c r="E205" s="85"/>
      <c r="F205" s="85"/>
      <c r="G205" s="90">
        <f aca="true" t="shared" si="14" ref="G205:I206">G206</f>
        <v>0</v>
      </c>
      <c r="H205" s="90">
        <f t="shared" si="14"/>
        <v>0</v>
      </c>
      <c r="I205" s="422">
        <f t="shared" si="14"/>
        <v>0</v>
      </c>
      <c r="J205" s="203" t="e">
        <f aca="true" t="shared" si="15" ref="J205:J220">I205/G205*100</f>
        <v>#DIV/0!</v>
      </c>
      <c r="K205" s="433" t="e">
        <f t="shared" si="13"/>
        <v>#DIV/0!</v>
      </c>
    </row>
    <row r="206" spans="1:11" ht="15.75" hidden="1">
      <c r="A206" s="87" t="s">
        <v>661</v>
      </c>
      <c r="B206" s="82" t="s">
        <v>1776</v>
      </c>
      <c r="C206" s="85" t="s">
        <v>584</v>
      </c>
      <c r="D206" s="85" t="s">
        <v>1598</v>
      </c>
      <c r="E206" s="85" t="s">
        <v>1416</v>
      </c>
      <c r="F206" s="85"/>
      <c r="G206" s="90">
        <f t="shared" si="14"/>
        <v>0</v>
      </c>
      <c r="H206" s="90">
        <f t="shared" si="14"/>
        <v>0</v>
      </c>
      <c r="I206" s="422">
        <f t="shared" si="14"/>
        <v>0</v>
      </c>
      <c r="J206" s="203" t="e">
        <f t="shared" si="15"/>
        <v>#DIV/0!</v>
      </c>
      <c r="K206" s="433" t="e">
        <f t="shared" si="13"/>
        <v>#DIV/0!</v>
      </c>
    </row>
    <row r="207" spans="1:11" ht="15.75" hidden="1">
      <c r="A207" s="87" t="s">
        <v>1758</v>
      </c>
      <c r="B207" s="82" t="s">
        <v>1776</v>
      </c>
      <c r="C207" s="85" t="s">
        <v>584</v>
      </c>
      <c r="D207" s="85" t="s">
        <v>1598</v>
      </c>
      <c r="E207" s="85" t="s">
        <v>1416</v>
      </c>
      <c r="F207" s="85" t="s">
        <v>1878</v>
      </c>
      <c r="G207" s="90">
        <v>0</v>
      </c>
      <c r="H207" s="90">
        <v>0</v>
      </c>
      <c r="I207" s="422"/>
      <c r="J207" s="203" t="e">
        <f t="shared" si="15"/>
        <v>#DIV/0!</v>
      </c>
      <c r="K207" s="433" t="e">
        <f t="shared" si="13"/>
        <v>#DIV/0!</v>
      </c>
    </row>
    <row r="208" spans="1:11" ht="24">
      <c r="A208" s="91" t="s">
        <v>1303</v>
      </c>
      <c r="B208" s="82" t="s">
        <v>1776</v>
      </c>
      <c r="C208" s="85" t="s">
        <v>584</v>
      </c>
      <c r="D208" s="85" t="s">
        <v>172</v>
      </c>
      <c r="E208" s="85"/>
      <c r="F208" s="85"/>
      <c r="G208" s="90">
        <f>G209+G211</f>
        <v>365</v>
      </c>
      <c r="H208" s="90">
        <f>H209+H211</f>
        <v>365</v>
      </c>
      <c r="I208" s="422">
        <f>I209+I211</f>
        <v>186.4</v>
      </c>
      <c r="J208" s="203">
        <f t="shared" si="15"/>
        <v>51.06849315068494</v>
      </c>
      <c r="K208" s="433">
        <f t="shared" si="13"/>
        <v>51.06849315068494</v>
      </c>
    </row>
    <row r="209" spans="1:11" ht="27" customHeight="1" hidden="1">
      <c r="A209" s="87" t="s">
        <v>661</v>
      </c>
      <c r="B209" s="82" t="s">
        <v>1776</v>
      </c>
      <c r="C209" s="85" t="s">
        <v>584</v>
      </c>
      <c r="D209" s="85" t="s">
        <v>172</v>
      </c>
      <c r="E209" s="85" t="s">
        <v>1417</v>
      </c>
      <c r="F209" s="85"/>
      <c r="G209" s="90">
        <f>G210</f>
        <v>0</v>
      </c>
      <c r="H209" s="90">
        <f>H210</f>
        <v>0</v>
      </c>
      <c r="I209" s="422">
        <f>I210</f>
        <v>0</v>
      </c>
      <c r="J209" s="203" t="e">
        <f t="shared" si="15"/>
        <v>#DIV/0!</v>
      </c>
      <c r="K209" s="433" t="e">
        <f t="shared" si="13"/>
        <v>#DIV/0!</v>
      </c>
    </row>
    <row r="210" spans="1:11" ht="15.75" hidden="1">
      <c r="A210" s="87" t="s">
        <v>1758</v>
      </c>
      <c r="B210" s="82" t="s">
        <v>1776</v>
      </c>
      <c r="C210" s="85" t="s">
        <v>584</v>
      </c>
      <c r="D210" s="85" t="s">
        <v>172</v>
      </c>
      <c r="E210" s="85" t="s">
        <v>1417</v>
      </c>
      <c r="F210" s="85" t="s">
        <v>1878</v>
      </c>
      <c r="G210" s="90"/>
      <c r="H210" s="90"/>
      <c r="I210" s="422"/>
      <c r="J210" s="203" t="e">
        <f t="shared" si="15"/>
        <v>#DIV/0!</v>
      </c>
      <c r="K210" s="433" t="e">
        <f t="shared" si="13"/>
        <v>#DIV/0!</v>
      </c>
    </row>
    <row r="211" spans="1:11" ht="24">
      <c r="A211" s="86" t="s">
        <v>909</v>
      </c>
      <c r="B211" s="82" t="s">
        <v>1776</v>
      </c>
      <c r="C211" s="85" t="s">
        <v>584</v>
      </c>
      <c r="D211" s="85" t="s">
        <v>172</v>
      </c>
      <c r="E211" s="85" t="s">
        <v>910</v>
      </c>
      <c r="F211" s="85"/>
      <c r="G211" s="90">
        <f>G212</f>
        <v>365</v>
      </c>
      <c r="H211" s="90">
        <f>H212</f>
        <v>365</v>
      </c>
      <c r="I211" s="422">
        <f>I212</f>
        <v>186.4</v>
      </c>
      <c r="J211" s="203">
        <f t="shared" si="15"/>
        <v>51.06849315068494</v>
      </c>
      <c r="K211" s="433">
        <f t="shared" si="13"/>
        <v>51.06849315068494</v>
      </c>
    </row>
    <row r="212" spans="1:11" ht="24">
      <c r="A212" s="87" t="s">
        <v>1337</v>
      </c>
      <c r="B212" s="82" t="s">
        <v>1776</v>
      </c>
      <c r="C212" s="85" t="s">
        <v>584</v>
      </c>
      <c r="D212" s="85" t="s">
        <v>172</v>
      </c>
      <c r="E212" s="85" t="s">
        <v>1700</v>
      </c>
      <c r="F212" s="85" t="s">
        <v>1071</v>
      </c>
      <c r="G212" s="90">
        <f>G213+G214+G215</f>
        <v>365</v>
      </c>
      <c r="H212" s="90">
        <f>H213+H214</f>
        <v>365</v>
      </c>
      <c r="I212" s="422">
        <f>I213+I214</f>
        <v>186.4</v>
      </c>
      <c r="J212" s="203">
        <f t="shared" si="15"/>
        <v>51.06849315068494</v>
      </c>
      <c r="K212" s="433">
        <f t="shared" si="13"/>
        <v>51.06849315068494</v>
      </c>
    </row>
    <row r="213" spans="1:11" ht="24">
      <c r="A213" s="87" t="s">
        <v>1164</v>
      </c>
      <c r="B213" s="82" t="s">
        <v>1776</v>
      </c>
      <c r="C213" s="85" t="s">
        <v>584</v>
      </c>
      <c r="D213" s="85" t="s">
        <v>172</v>
      </c>
      <c r="E213" s="85" t="s">
        <v>1700</v>
      </c>
      <c r="F213" s="85" t="s">
        <v>1835</v>
      </c>
      <c r="G213" s="90"/>
      <c r="H213" s="90">
        <v>1.1</v>
      </c>
      <c r="I213" s="422">
        <v>1.1</v>
      </c>
      <c r="J213" s="203"/>
      <c r="K213" s="433">
        <f t="shared" si="13"/>
        <v>100</v>
      </c>
    </row>
    <row r="214" spans="1:11" ht="22.5" customHeight="1">
      <c r="A214" s="87" t="s">
        <v>1165</v>
      </c>
      <c r="B214" s="82" t="s">
        <v>1776</v>
      </c>
      <c r="C214" s="85" t="s">
        <v>584</v>
      </c>
      <c r="D214" s="85" t="s">
        <v>172</v>
      </c>
      <c r="E214" s="85" t="s">
        <v>1700</v>
      </c>
      <c r="F214" s="85" t="s">
        <v>90</v>
      </c>
      <c r="G214" s="90"/>
      <c r="H214" s="90">
        <v>363.9</v>
      </c>
      <c r="I214" s="422">
        <v>185.3</v>
      </c>
      <c r="J214" s="203"/>
      <c r="K214" s="433">
        <f t="shared" si="13"/>
        <v>50.92058257763122</v>
      </c>
    </row>
    <row r="215" spans="1:11" ht="24">
      <c r="A215" s="87" t="s">
        <v>743</v>
      </c>
      <c r="B215" s="82" t="s">
        <v>1776</v>
      </c>
      <c r="C215" s="85" t="s">
        <v>584</v>
      </c>
      <c r="D215" s="85" t="s">
        <v>172</v>
      </c>
      <c r="E215" s="85" t="s">
        <v>1700</v>
      </c>
      <c r="F215" s="85" t="s">
        <v>744</v>
      </c>
      <c r="G215" s="90">
        <f>G216</f>
        <v>365</v>
      </c>
      <c r="H215" s="90">
        <f>H216</f>
        <v>0</v>
      </c>
      <c r="I215" s="422">
        <f>I216</f>
        <v>0</v>
      </c>
      <c r="J215" s="203">
        <f t="shared" si="15"/>
        <v>0</v>
      </c>
      <c r="K215" s="433"/>
    </row>
    <row r="216" spans="1:11" ht="24">
      <c r="A216" s="87" t="s">
        <v>745</v>
      </c>
      <c r="B216" s="82" t="s">
        <v>1776</v>
      </c>
      <c r="C216" s="85" t="s">
        <v>584</v>
      </c>
      <c r="D216" s="85" t="s">
        <v>172</v>
      </c>
      <c r="E216" s="85" t="s">
        <v>1700</v>
      </c>
      <c r="F216" s="85" t="s">
        <v>746</v>
      </c>
      <c r="G216" s="90">
        <v>365</v>
      </c>
      <c r="H216" s="90">
        <f>365-365</f>
        <v>0</v>
      </c>
      <c r="I216" s="422">
        <f>365-365</f>
        <v>0</v>
      </c>
      <c r="J216" s="203">
        <f t="shared" si="15"/>
        <v>0</v>
      </c>
      <c r="K216" s="433"/>
    </row>
    <row r="217" spans="1:11" ht="15">
      <c r="A217" s="91" t="s">
        <v>1306</v>
      </c>
      <c r="B217" s="82" t="s">
        <v>1776</v>
      </c>
      <c r="C217" s="85" t="s">
        <v>584</v>
      </c>
      <c r="D217" s="85" t="s">
        <v>584</v>
      </c>
      <c r="E217" s="85"/>
      <c r="F217" s="85"/>
      <c r="G217" s="90">
        <f>G218+G222+G230</f>
        <v>10000</v>
      </c>
      <c r="H217" s="90">
        <f>H218+H222+H230</f>
        <v>17243.4</v>
      </c>
      <c r="I217" s="422">
        <f>I218+I222+I230</f>
        <v>17243.4</v>
      </c>
      <c r="J217" s="203">
        <f t="shared" si="15"/>
        <v>172.43400000000003</v>
      </c>
      <c r="K217" s="433">
        <f t="shared" si="13"/>
        <v>100</v>
      </c>
    </row>
    <row r="218" spans="1:11" ht="24">
      <c r="A218" s="87" t="s">
        <v>1179</v>
      </c>
      <c r="B218" s="82" t="s">
        <v>1776</v>
      </c>
      <c r="C218" s="85" t="s">
        <v>584</v>
      </c>
      <c r="D218" s="85" t="s">
        <v>584</v>
      </c>
      <c r="E218" s="85" t="s">
        <v>580</v>
      </c>
      <c r="F218" s="85" t="s">
        <v>744</v>
      </c>
      <c r="G218" s="90">
        <f>G219</f>
        <v>10000</v>
      </c>
      <c r="H218" s="90"/>
      <c r="I218" s="422"/>
      <c r="J218" s="203">
        <f t="shared" si="15"/>
        <v>0</v>
      </c>
      <c r="K218" s="433"/>
    </row>
    <row r="219" spans="1:11" ht="24">
      <c r="A219" s="87" t="s">
        <v>1167</v>
      </c>
      <c r="B219" s="82" t="s">
        <v>1776</v>
      </c>
      <c r="C219" s="85" t="s">
        <v>584</v>
      </c>
      <c r="D219" s="85" t="s">
        <v>584</v>
      </c>
      <c r="E219" s="85" t="s">
        <v>1358</v>
      </c>
      <c r="F219" s="85" t="s">
        <v>1637</v>
      </c>
      <c r="G219" s="90">
        <f>G220</f>
        <v>10000</v>
      </c>
      <c r="H219" s="90"/>
      <c r="I219" s="422"/>
      <c r="J219" s="203">
        <f t="shared" si="15"/>
        <v>0</v>
      </c>
      <c r="K219" s="433"/>
    </row>
    <row r="220" spans="1:11" ht="24">
      <c r="A220" s="87" t="s">
        <v>1180</v>
      </c>
      <c r="B220" s="82" t="s">
        <v>1776</v>
      </c>
      <c r="C220" s="85" t="s">
        <v>584</v>
      </c>
      <c r="D220" s="85" t="s">
        <v>584</v>
      </c>
      <c r="E220" s="85" t="s">
        <v>580</v>
      </c>
      <c r="F220" s="85" t="s">
        <v>1637</v>
      </c>
      <c r="G220" s="90">
        <v>10000</v>
      </c>
      <c r="H220" s="90"/>
      <c r="I220" s="422"/>
      <c r="J220" s="203">
        <f t="shared" si="15"/>
        <v>0</v>
      </c>
      <c r="K220" s="433"/>
    </row>
    <row r="221" spans="1:11" ht="36">
      <c r="A221" s="92" t="s">
        <v>1338</v>
      </c>
      <c r="B221" s="82" t="s">
        <v>1776</v>
      </c>
      <c r="C221" s="85" t="s">
        <v>584</v>
      </c>
      <c r="D221" s="85" t="s">
        <v>584</v>
      </c>
      <c r="E221" s="85" t="s">
        <v>1339</v>
      </c>
      <c r="F221" s="85"/>
      <c r="G221" s="90">
        <f>G222</f>
        <v>0</v>
      </c>
      <c r="H221" s="90">
        <f>H222</f>
        <v>8349</v>
      </c>
      <c r="I221" s="422">
        <f>I222</f>
        <v>8349</v>
      </c>
      <c r="J221" s="203"/>
      <c r="K221" s="433"/>
    </row>
    <row r="222" spans="1:11" ht="24">
      <c r="A222" s="92" t="s">
        <v>1340</v>
      </c>
      <c r="B222" s="82" t="s">
        <v>1776</v>
      </c>
      <c r="C222" s="85" t="s">
        <v>584</v>
      </c>
      <c r="D222" s="85" t="s">
        <v>584</v>
      </c>
      <c r="E222" s="85" t="s">
        <v>1178</v>
      </c>
      <c r="F222" s="85" t="s">
        <v>1071</v>
      </c>
      <c r="G222" s="90">
        <f>G223+G224+G225+G226</f>
        <v>0</v>
      </c>
      <c r="H222" s="90">
        <f>H223+H224+H225+H226</f>
        <v>8349</v>
      </c>
      <c r="I222" s="422">
        <f>I223+I224+I225+I226</f>
        <v>8349</v>
      </c>
      <c r="J222" s="203"/>
      <c r="K222" s="433">
        <f aca="true" t="shared" si="16" ref="K222:K277">I222/H222*100</f>
        <v>100</v>
      </c>
    </row>
    <row r="223" spans="1:11" ht="24">
      <c r="A223" s="87" t="s">
        <v>1341</v>
      </c>
      <c r="B223" s="82" t="s">
        <v>1776</v>
      </c>
      <c r="C223" s="85" t="s">
        <v>584</v>
      </c>
      <c r="D223" s="85" t="s">
        <v>584</v>
      </c>
      <c r="E223" s="85" t="s">
        <v>1178</v>
      </c>
      <c r="F223" s="85" t="s">
        <v>90</v>
      </c>
      <c r="G223" s="90"/>
      <c r="H223" s="90">
        <f>32-0.9</f>
        <v>31.1</v>
      </c>
      <c r="I223" s="422">
        <v>31.1</v>
      </c>
      <c r="J223" s="203"/>
      <c r="K223" s="433">
        <f t="shared" si="16"/>
        <v>100</v>
      </c>
    </row>
    <row r="224" spans="1:11" ht="24">
      <c r="A224" s="87" t="s">
        <v>1342</v>
      </c>
      <c r="B224" s="82" t="s">
        <v>1776</v>
      </c>
      <c r="C224" s="85" t="s">
        <v>584</v>
      </c>
      <c r="D224" s="85" t="s">
        <v>584</v>
      </c>
      <c r="E224" s="85" t="s">
        <v>1178</v>
      </c>
      <c r="F224" s="85" t="s">
        <v>869</v>
      </c>
      <c r="G224" s="90"/>
      <c r="H224" s="90">
        <f>600+46.7+46.1</f>
        <v>692.8000000000001</v>
      </c>
      <c r="I224" s="422">
        <v>692.8</v>
      </c>
      <c r="J224" s="203"/>
      <c r="K224" s="433">
        <f t="shared" si="16"/>
        <v>99.99999999999999</v>
      </c>
    </row>
    <row r="225" spans="1:11" ht="24">
      <c r="A225" s="87" t="s">
        <v>743</v>
      </c>
      <c r="B225" s="82" t="s">
        <v>1776</v>
      </c>
      <c r="C225" s="85" t="s">
        <v>584</v>
      </c>
      <c r="D225" s="85" t="s">
        <v>584</v>
      </c>
      <c r="E225" s="85" t="s">
        <v>1178</v>
      </c>
      <c r="F225" s="85" t="s">
        <v>744</v>
      </c>
      <c r="G225" s="90"/>
      <c r="H225" s="90">
        <f>300+1336.6-435.9</f>
        <v>1200.6999999999998</v>
      </c>
      <c r="I225" s="422">
        <v>1200.7</v>
      </c>
      <c r="J225" s="203"/>
      <c r="K225" s="433">
        <f t="shared" si="16"/>
        <v>100.00000000000003</v>
      </c>
    </row>
    <row r="226" spans="1:11" ht="24">
      <c r="A226" s="87" t="s">
        <v>295</v>
      </c>
      <c r="B226" s="82" t="s">
        <v>1776</v>
      </c>
      <c r="C226" s="85" t="s">
        <v>584</v>
      </c>
      <c r="D226" s="85" t="s">
        <v>584</v>
      </c>
      <c r="E226" s="85" t="s">
        <v>1178</v>
      </c>
      <c r="F226" s="85" t="s">
        <v>296</v>
      </c>
      <c r="G226" s="90"/>
      <c r="H226" s="90">
        <f>7417-1336.6+390.1-46.1</f>
        <v>6424.4</v>
      </c>
      <c r="I226" s="422">
        <v>6424.4</v>
      </c>
      <c r="J226" s="203"/>
      <c r="K226" s="433">
        <f t="shared" si="16"/>
        <v>100</v>
      </c>
    </row>
    <row r="227" spans="1:11" ht="15.75" hidden="1">
      <c r="A227" s="87" t="s">
        <v>743</v>
      </c>
      <c r="B227" s="82" t="s">
        <v>1776</v>
      </c>
      <c r="C227" s="85" t="s">
        <v>584</v>
      </c>
      <c r="D227" s="85" t="s">
        <v>584</v>
      </c>
      <c r="E227" s="85" t="s">
        <v>580</v>
      </c>
      <c r="F227" s="85" t="s">
        <v>744</v>
      </c>
      <c r="G227" s="90">
        <f aca="true" t="shared" si="17" ref="G227:I228">G228</f>
        <v>0</v>
      </c>
      <c r="H227" s="90">
        <f t="shared" si="17"/>
        <v>0</v>
      </c>
      <c r="I227" s="422">
        <f t="shared" si="17"/>
        <v>0</v>
      </c>
      <c r="J227" s="203"/>
      <c r="K227" s="433" t="e">
        <f t="shared" si="16"/>
        <v>#DIV/0!</v>
      </c>
    </row>
    <row r="228" spans="1:11" ht="15.75" hidden="1">
      <c r="A228" s="87" t="s">
        <v>1167</v>
      </c>
      <c r="B228" s="82" t="s">
        <v>1776</v>
      </c>
      <c r="C228" s="85" t="s">
        <v>584</v>
      </c>
      <c r="D228" s="85" t="s">
        <v>584</v>
      </c>
      <c r="E228" s="85" t="s">
        <v>1358</v>
      </c>
      <c r="F228" s="85" t="s">
        <v>1637</v>
      </c>
      <c r="G228" s="90">
        <f t="shared" si="17"/>
        <v>0</v>
      </c>
      <c r="H228" s="90">
        <f t="shared" si="17"/>
        <v>0</v>
      </c>
      <c r="I228" s="422">
        <f t="shared" si="17"/>
        <v>0</v>
      </c>
      <c r="J228" s="203"/>
      <c r="K228" s="433" t="e">
        <f t="shared" si="16"/>
        <v>#DIV/0!</v>
      </c>
    </row>
    <row r="229" spans="1:11" ht="15.75" hidden="1">
      <c r="A229" s="87" t="s">
        <v>1180</v>
      </c>
      <c r="B229" s="82" t="s">
        <v>1776</v>
      </c>
      <c r="C229" s="85" t="s">
        <v>584</v>
      </c>
      <c r="D229" s="85" t="s">
        <v>584</v>
      </c>
      <c r="E229" s="85" t="s">
        <v>580</v>
      </c>
      <c r="F229" s="85" t="s">
        <v>1637</v>
      </c>
      <c r="G229" s="90">
        <f>10000-10000</f>
        <v>0</v>
      </c>
      <c r="H229" s="90">
        <f>10000-10000</f>
        <v>0</v>
      </c>
      <c r="I229" s="422">
        <f>10000-10000</f>
        <v>0</v>
      </c>
      <c r="J229" s="203"/>
      <c r="K229" s="433" t="e">
        <f t="shared" si="16"/>
        <v>#DIV/0!</v>
      </c>
    </row>
    <row r="230" spans="1:11" ht="24">
      <c r="A230" s="86" t="s">
        <v>909</v>
      </c>
      <c r="B230" s="82" t="s">
        <v>1776</v>
      </c>
      <c r="C230" s="85" t="s">
        <v>584</v>
      </c>
      <c r="D230" s="85" t="s">
        <v>584</v>
      </c>
      <c r="E230" s="85" t="s">
        <v>910</v>
      </c>
      <c r="F230" s="85"/>
      <c r="G230" s="90">
        <f>G231+G234+G237</f>
        <v>0</v>
      </c>
      <c r="H230" s="90">
        <f>H231+H234+H237</f>
        <v>8894.4</v>
      </c>
      <c r="I230" s="422">
        <f>I231+I234+I237</f>
        <v>8894.4</v>
      </c>
      <c r="J230" s="203"/>
      <c r="K230" s="433">
        <f t="shared" si="16"/>
        <v>100</v>
      </c>
    </row>
    <row r="231" spans="1:11" ht="36">
      <c r="A231" s="95" t="s">
        <v>1183</v>
      </c>
      <c r="B231" s="82" t="s">
        <v>1776</v>
      </c>
      <c r="C231" s="85" t="s">
        <v>584</v>
      </c>
      <c r="D231" s="85" t="s">
        <v>584</v>
      </c>
      <c r="E231" s="85" t="s">
        <v>1184</v>
      </c>
      <c r="F231" s="85" t="s">
        <v>1071</v>
      </c>
      <c r="G231" s="90">
        <f>G232+G233</f>
        <v>0</v>
      </c>
      <c r="H231" s="90">
        <f>H232+H233</f>
        <v>665</v>
      </c>
      <c r="I231" s="422">
        <f>I232+I233</f>
        <v>665</v>
      </c>
      <c r="J231" s="203"/>
      <c r="K231" s="433">
        <f t="shared" si="16"/>
        <v>100</v>
      </c>
    </row>
    <row r="232" spans="1:11" ht="24">
      <c r="A232" s="87" t="s">
        <v>1165</v>
      </c>
      <c r="B232" s="82" t="s">
        <v>1776</v>
      </c>
      <c r="C232" s="85" t="s">
        <v>584</v>
      </c>
      <c r="D232" s="85" t="s">
        <v>584</v>
      </c>
      <c r="E232" s="85" t="s">
        <v>1184</v>
      </c>
      <c r="F232" s="85" t="s">
        <v>90</v>
      </c>
      <c r="G232" s="90"/>
      <c r="H232" s="90">
        <f>10000-9932+7.4</f>
        <v>75.4</v>
      </c>
      <c r="I232" s="422">
        <v>75.4</v>
      </c>
      <c r="J232" s="203"/>
      <c r="K232" s="433">
        <f t="shared" si="16"/>
        <v>100</v>
      </c>
    </row>
    <row r="233" spans="1:11" ht="21" customHeight="1">
      <c r="A233" s="87" t="s">
        <v>868</v>
      </c>
      <c r="B233" s="82" t="s">
        <v>1776</v>
      </c>
      <c r="C233" s="85" t="s">
        <v>584</v>
      </c>
      <c r="D233" s="85" t="s">
        <v>584</v>
      </c>
      <c r="E233" s="85" t="s">
        <v>1184</v>
      </c>
      <c r="F233" s="85" t="s">
        <v>869</v>
      </c>
      <c r="G233" s="90"/>
      <c r="H233" s="90">
        <f>550-7.4+25.1+21.9</f>
        <v>589.6</v>
      </c>
      <c r="I233" s="422">
        <v>589.6</v>
      </c>
      <c r="J233" s="203"/>
      <c r="K233" s="433">
        <f t="shared" si="16"/>
        <v>100</v>
      </c>
    </row>
    <row r="234" spans="1:11" ht="24">
      <c r="A234" s="87" t="s">
        <v>743</v>
      </c>
      <c r="B234" s="82" t="s">
        <v>1776</v>
      </c>
      <c r="C234" s="85" t="s">
        <v>584</v>
      </c>
      <c r="D234" s="85" t="s">
        <v>584</v>
      </c>
      <c r="E234" s="85" t="s">
        <v>1184</v>
      </c>
      <c r="F234" s="85" t="s">
        <v>744</v>
      </c>
      <c r="G234" s="90">
        <f aca="true" t="shared" si="18" ref="G234:I235">G235</f>
        <v>0</v>
      </c>
      <c r="H234" s="90">
        <f t="shared" si="18"/>
        <v>1469.3999999999999</v>
      </c>
      <c r="I234" s="422">
        <f t="shared" si="18"/>
        <v>1469.4</v>
      </c>
      <c r="J234" s="203"/>
      <c r="K234" s="433">
        <f t="shared" si="16"/>
        <v>100.00000000000003</v>
      </c>
    </row>
    <row r="235" spans="1:11" ht="24">
      <c r="A235" s="87" t="s">
        <v>1170</v>
      </c>
      <c r="B235" s="82" t="s">
        <v>1776</v>
      </c>
      <c r="C235" s="85" t="s">
        <v>584</v>
      </c>
      <c r="D235" s="85" t="s">
        <v>584</v>
      </c>
      <c r="E235" s="85" t="s">
        <v>1184</v>
      </c>
      <c r="F235" s="85" t="s">
        <v>1637</v>
      </c>
      <c r="G235" s="90">
        <f t="shared" si="18"/>
        <v>0</v>
      </c>
      <c r="H235" s="90">
        <f t="shared" si="18"/>
        <v>1469.3999999999999</v>
      </c>
      <c r="I235" s="422">
        <f t="shared" si="18"/>
        <v>1469.4</v>
      </c>
      <c r="J235" s="203"/>
      <c r="K235" s="433">
        <f t="shared" si="16"/>
        <v>100.00000000000003</v>
      </c>
    </row>
    <row r="236" spans="1:11" ht="24">
      <c r="A236" s="87" t="s">
        <v>1186</v>
      </c>
      <c r="B236" s="82" t="s">
        <v>1776</v>
      </c>
      <c r="C236" s="85" t="s">
        <v>584</v>
      </c>
      <c r="D236" s="85" t="s">
        <v>584</v>
      </c>
      <c r="E236" s="85" t="s">
        <v>1184</v>
      </c>
      <c r="F236" s="85" t="s">
        <v>1637</v>
      </c>
      <c r="G236" s="90"/>
      <c r="H236" s="90">
        <f>1528-188.2+129.6</f>
        <v>1469.3999999999999</v>
      </c>
      <c r="I236" s="422">
        <v>1469.4</v>
      </c>
      <c r="J236" s="203"/>
      <c r="K236" s="433">
        <f t="shared" si="16"/>
        <v>100.00000000000003</v>
      </c>
    </row>
    <row r="237" spans="1:11" ht="24">
      <c r="A237" s="87" t="s">
        <v>295</v>
      </c>
      <c r="B237" s="82" t="s">
        <v>1776</v>
      </c>
      <c r="C237" s="85" t="s">
        <v>584</v>
      </c>
      <c r="D237" s="85" t="s">
        <v>584</v>
      </c>
      <c r="E237" s="85" t="s">
        <v>1184</v>
      </c>
      <c r="F237" s="85" t="s">
        <v>296</v>
      </c>
      <c r="G237" s="90">
        <f aca="true" t="shared" si="19" ref="G237:I238">G238</f>
        <v>0</v>
      </c>
      <c r="H237" s="90">
        <f t="shared" si="19"/>
        <v>6760</v>
      </c>
      <c r="I237" s="422">
        <f t="shared" si="19"/>
        <v>6760</v>
      </c>
      <c r="J237" s="203"/>
      <c r="K237" s="433">
        <f t="shared" si="16"/>
        <v>100</v>
      </c>
    </row>
    <row r="238" spans="1:11" ht="24">
      <c r="A238" s="87" t="s">
        <v>305</v>
      </c>
      <c r="B238" s="82" t="s">
        <v>1776</v>
      </c>
      <c r="C238" s="85" t="s">
        <v>584</v>
      </c>
      <c r="D238" s="85" t="s">
        <v>584</v>
      </c>
      <c r="E238" s="85" t="s">
        <v>1184</v>
      </c>
      <c r="F238" s="85" t="s">
        <v>801</v>
      </c>
      <c r="G238" s="90">
        <f t="shared" si="19"/>
        <v>0</v>
      </c>
      <c r="H238" s="90">
        <f t="shared" si="19"/>
        <v>6760</v>
      </c>
      <c r="I238" s="422">
        <f t="shared" si="19"/>
        <v>6760</v>
      </c>
      <c r="J238" s="203"/>
      <c r="K238" s="433">
        <f t="shared" si="16"/>
        <v>100</v>
      </c>
    </row>
    <row r="239" spans="1:11" ht="24">
      <c r="A239" s="87" t="s">
        <v>1186</v>
      </c>
      <c r="B239" s="82" t="s">
        <v>1776</v>
      </c>
      <c r="C239" s="85" t="s">
        <v>584</v>
      </c>
      <c r="D239" s="85" t="s">
        <v>584</v>
      </c>
      <c r="E239" s="85" t="s">
        <v>1184</v>
      </c>
      <c r="F239" s="85" t="s">
        <v>801</v>
      </c>
      <c r="G239" s="90"/>
      <c r="H239" s="90">
        <f>6748.4+163.1-151.5</f>
        <v>6760</v>
      </c>
      <c r="I239" s="422">
        <v>6760</v>
      </c>
      <c r="J239" s="203"/>
      <c r="K239" s="433">
        <f t="shared" si="16"/>
        <v>100</v>
      </c>
    </row>
    <row r="240" spans="1:11" ht="27.75" customHeight="1">
      <c r="A240" s="96" t="s">
        <v>957</v>
      </c>
      <c r="B240" s="82" t="s">
        <v>1776</v>
      </c>
      <c r="C240" s="85" t="s">
        <v>584</v>
      </c>
      <c r="D240" s="85" t="s">
        <v>1788</v>
      </c>
      <c r="E240" s="85"/>
      <c r="F240" s="85"/>
      <c r="G240" s="90">
        <f>G241+G249+G254+G257+G266+G278+G281</f>
        <v>119069.8</v>
      </c>
      <c r="H240" s="90">
        <f>H241+H249+H254+H257+H266+H278+H281</f>
        <v>116565.7</v>
      </c>
      <c r="I240" s="422">
        <f>I241+I249+I254+I257+I266+I278+I281</f>
        <v>111593.50000000001</v>
      </c>
      <c r="J240" s="203">
        <f>I240/G240*100</f>
        <v>93.72107788876778</v>
      </c>
      <c r="K240" s="433">
        <f t="shared" si="16"/>
        <v>95.73442273327404</v>
      </c>
    </row>
    <row r="241" spans="1:11" ht="36">
      <c r="A241" s="93" t="s">
        <v>1435</v>
      </c>
      <c r="B241" s="82" t="s">
        <v>1776</v>
      </c>
      <c r="C241" s="85" t="s">
        <v>584</v>
      </c>
      <c r="D241" s="85" t="s">
        <v>1788</v>
      </c>
      <c r="E241" s="85" t="s">
        <v>144</v>
      </c>
      <c r="F241" s="85"/>
      <c r="G241" s="90">
        <f>G242+G246</f>
        <v>31554.8</v>
      </c>
      <c r="H241" s="90">
        <f>H242+H246</f>
        <v>32268.5</v>
      </c>
      <c r="I241" s="422">
        <f>I242+I246</f>
        <v>29220.700000000004</v>
      </c>
      <c r="J241" s="203">
        <f>I241/G241*100</f>
        <v>92.60302711473375</v>
      </c>
      <c r="K241" s="433">
        <f t="shared" si="16"/>
        <v>90.5548754977765</v>
      </c>
    </row>
    <row r="242" spans="1:11" ht="24">
      <c r="A242" s="87" t="s">
        <v>1599</v>
      </c>
      <c r="B242" s="82" t="s">
        <v>1776</v>
      </c>
      <c r="C242" s="85" t="s">
        <v>584</v>
      </c>
      <c r="D242" s="85" t="s">
        <v>1788</v>
      </c>
      <c r="E242" s="85" t="s">
        <v>1884</v>
      </c>
      <c r="F242" s="85" t="s">
        <v>1071</v>
      </c>
      <c r="G242" s="90">
        <f>G243+G244+G245</f>
        <v>31492.8</v>
      </c>
      <c r="H242" s="90">
        <f>H243+H244+H245</f>
        <v>32206.5</v>
      </c>
      <c r="I242" s="422">
        <f>I243+I244+I245</f>
        <v>29159.300000000003</v>
      </c>
      <c r="J242" s="203">
        <f>I242/G242*100</f>
        <v>92.59036986231774</v>
      </c>
      <c r="K242" s="433">
        <f t="shared" si="16"/>
        <v>90.53855588157671</v>
      </c>
    </row>
    <row r="243" spans="1:11" ht="24">
      <c r="A243" s="348" t="s">
        <v>1832</v>
      </c>
      <c r="B243" s="82" t="s">
        <v>1776</v>
      </c>
      <c r="C243" s="85" t="s">
        <v>584</v>
      </c>
      <c r="D243" s="85" t="s">
        <v>1788</v>
      </c>
      <c r="E243" s="85" t="s">
        <v>1884</v>
      </c>
      <c r="F243" s="85" t="s">
        <v>1833</v>
      </c>
      <c r="G243" s="90"/>
      <c r="H243" s="90">
        <v>28000.5</v>
      </c>
      <c r="I243" s="422">
        <v>25254.4</v>
      </c>
      <c r="J243" s="203"/>
      <c r="K243" s="433">
        <f t="shared" si="16"/>
        <v>90.19267513080123</v>
      </c>
    </row>
    <row r="244" spans="1:11" ht="24">
      <c r="A244" s="87" t="s">
        <v>1729</v>
      </c>
      <c r="B244" s="82" t="s">
        <v>1776</v>
      </c>
      <c r="C244" s="85" t="s">
        <v>584</v>
      </c>
      <c r="D244" s="85" t="s">
        <v>1788</v>
      </c>
      <c r="E244" s="85" t="s">
        <v>1884</v>
      </c>
      <c r="F244" s="85" t="s">
        <v>1837</v>
      </c>
      <c r="G244" s="90"/>
      <c r="H244" s="90">
        <v>4206</v>
      </c>
      <c r="I244" s="422">
        <v>3904.9</v>
      </c>
      <c r="J244" s="203"/>
      <c r="K244" s="433">
        <f t="shared" si="16"/>
        <v>92.84117926771279</v>
      </c>
    </row>
    <row r="245" spans="1:11" ht="24">
      <c r="A245" s="376" t="s">
        <v>171</v>
      </c>
      <c r="B245" s="82" t="s">
        <v>1776</v>
      </c>
      <c r="C245" s="85" t="s">
        <v>584</v>
      </c>
      <c r="D245" s="85" t="s">
        <v>1788</v>
      </c>
      <c r="E245" s="85" t="s">
        <v>1884</v>
      </c>
      <c r="F245" s="85" t="s">
        <v>436</v>
      </c>
      <c r="G245" s="90">
        <v>31492.8</v>
      </c>
      <c r="H245" s="90"/>
      <c r="I245" s="422"/>
      <c r="J245" s="203">
        <f>I245/G245*100</f>
        <v>0</v>
      </c>
      <c r="K245" s="433"/>
    </row>
    <row r="246" spans="1:11" ht="24">
      <c r="A246" s="349" t="s">
        <v>1840</v>
      </c>
      <c r="B246" s="82" t="s">
        <v>1776</v>
      </c>
      <c r="C246" s="85" t="s">
        <v>584</v>
      </c>
      <c r="D246" s="85" t="s">
        <v>1788</v>
      </c>
      <c r="E246" s="85" t="s">
        <v>1841</v>
      </c>
      <c r="F246" s="85" t="s">
        <v>1071</v>
      </c>
      <c r="G246" s="90">
        <f>G247+G248</f>
        <v>62</v>
      </c>
      <c r="H246" s="90">
        <f>H247+H248</f>
        <v>62</v>
      </c>
      <c r="I246" s="422">
        <f>I247+I248</f>
        <v>61.4</v>
      </c>
      <c r="J246" s="203">
        <f>I246/G246*100</f>
        <v>99.03225806451613</v>
      </c>
      <c r="K246" s="433">
        <f t="shared" si="16"/>
        <v>99.03225806451613</v>
      </c>
    </row>
    <row r="247" spans="1:11" ht="24">
      <c r="A247" s="376" t="s">
        <v>171</v>
      </c>
      <c r="B247" s="82" t="s">
        <v>1776</v>
      </c>
      <c r="C247" s="85" t="s">
        <v>584</v>
      </c>
      <c r="D247" s="85" t="s">
        <v>1788</v>
      </c>
      <c r="E247" s="85" t="s">
        <v>1841</v>
      </c>
      <c r="F247" s="85" t="s">
        <v>436</v>
      </c>
      <c r="G247" s="90">
        <v>62</v>
      </c>
      <c r="H247" s="90"/>
      <c r="I247" s="422"/>
      <c r="J247" s="203">
        <f>I247/G247*100</f>
        <v>0</v>
      </c>
      <c r="K247" s="433"/>
    </row>
    <row r="248" spans="1:11" ht="24">
      <c r="A248" s="349" t="s">
        <v>1840</v>
      </c>
      <c r="B248" s="82" t="s">
        <v>1776</v>
      </c>
      <c r="C248" s="85" t="s">
        <v>584</v>
      </c>
      <c r="D248" s="85" t="s">
        <v>1788</v>
      </c>
      <c r="E248" s="85" t="s">
        <v>1841</v>
      </c>
      <c r="F248" s="85" t="s">
        <v>1842</v>
      </c>
      <c r="G248" s="90"/>
      <c r="H248" s="90">
        <v>62</v>
      </c>
      <c r="I248" s="422">
        <v>61.4</v>
      </c>
      <c r="J248" s="203"/>
      <c r="K248" s="433">
        <f t="shared" si="16"/>
        <v>99.03225806451613</v>
      </c>
    </row>
    <row r="249" spans="1:11" ht="24">
      <c r="A249" s="93" t="s">
        <v>1396</v>
      </c>
      <c r="B249" s="82" t="s">
        <v>1776</v>
      </c>
      <c r="C249" s="85" t="s">
        <v>584</v>
      </c>
      <c r="D249" s="85" t="s">
        <v>1788</v>
      </c>
      <c r="E249" s="85" t="s">
        <v>1397</v>
      </c>
      <c r="F249" s="85"/>
      <c r="G249" s="90">
        <f>G250+G254+G252</f>
        <v>0</v>
      </c>
      <c r="H249" s="90">
        <f>H250+H254+H252</f>
        <v>10949</v>
      </c>
      <c r="I249" s="422">
        <f>I250+I254+I252</f>
        <v>9833</v>
      </c>
      <c r="J249" s="203"/>
      <c r="K249" s="433">
        <f t="shared" si="16"/>
        <v>89.80728833683442</v>
      </c>
    </row>
    <row r="250" spans="1:11" ht="48">
      <c r="A250" s="87" t="s">
        <v>1190</v>
      </c>
      <c r="B250" s="82" t="s">
        <v>1776</v>
      </c>
      <c r="C250" s="85" t="s">
        <v>584</v>
      </c>
      <c r="D250" s="85" t="s">
        <v>1788</v>
      </c>
      <c r="E250" s="85" t="s">
        <v>871</v>
      </c>
      <c r="F250" s="85" t="s">
        <v>1071</v>
      </c>
      <c r="G250" s="90">
        <f>G251</f>
        <v>0</v>
      </c>
      <c r="H250" s="90">
        <f>H251</f>
        <v>468</v>
      </c>
      <c r="I250" s="422">
        <f>I251</f>
        <v>468</v>
      </c>
      <c r="J250" s="203"/>
      <c r="K250" s="433">
        <f t="shared" si="16"/>
        <v>100</v>
      </c>
    </row>
    <row r="251" spans="1:11" ht="24">
      <c r="A251" s="87" t="s">
        <v>1191</v>
      </c>
      <c r="B251" s="82" t="s">
        <v>1776</v>
      </c>
      <c r="C251" s="85" t="s">
        <v>584</v>
      </c>
      <c r="D251" s="85" t="s">
        <v>1788</v>
      </c>
      <c r="E251" s="85" t="s">
        <v>871</v>
      </c>
      <c r="F251" s="85" t="s">
        <v>1192</v>
      </c>
      <c r="G251" s="90"/>
      <c r="H251" s="90">
        <f>314+154</f>
        <v>468</v>
      </c>
      <c r="I251" s="422">
        <v>468</v>
      </c>
      <c r="J251" s="203"/>
      <c r="K251" s="433">
        <f t="shared" si="16"/>
        <v>100</v>
      </c>
    </row>
    <row r="252" spans="1:11" ht="72">
      <c r="A252" s="87" t="s">
        <v>1193</v>
      </c>
      <c r="B252" s="82" t="s">
        <v>1776</v>
      </c>
      <c r="C252" s="85" t="s">
        <v>584</v>
      </c>
      <c r="D252" s="85" t="s">
        <v>1788</v>
      </c>
      <c r="E252" s="85" t="s">
        <v>1194</v>
      </c>
      <c r="F252" s="85" t="s">
        <v>1071</v>
      </c>
      <c r="G252" s="90">
        <f>G253</f>
        <v>0</v>
      </c>
      <c r="H252" s="90">
        <f>H253</f>
        <v>10481</v>
      </c>
      <c r="I252" s="422">
        <f>I253</f>
        <v>9365</v>
      </c>
      <c r="J252" s="203"/>
      <c r="K252" s="433">
        <f t="shared" si="16"/>
        <v>89.3521610533346</v>
      </c>
    </row>
    <row r="253" spans="1:11" ht="24">
      <c r="A253" s="87" t="s">
        <v>1191</v>
      </c>
      <c r="B253" s="82" t="s">
        <v>1776</v>
      </c>
      <c r="C253" s="85" t="s">
        <v>584</v>
      </c>
      <c r="D253" s="85" t="s">
        <v>1788</v>
      </c>
      <c r="E253" s="85" t="s">
        <v>1194</v>
      </c>
      <c r="F253" s="85" t="s">
        <v>1192</v>
      </c>
      <c r="G253" s="90"/>
      <c r="H253" s="90">
        <v>10481</v>
      </c>
      <c r="I253" s="422">
        <v>9365</v>
      </c>
      <c r="J253" s="203"/>
      <c r="K253" s="433">
        <f t="shared" si="16"/>
        <v>89.3521610533346</v>
      </c>
    </row>
    <row r="254" spans="1:11" ht="24" hidden="1">
      <c r="A254" s="86" t="s">
        <v>1195</v>
      </c>
      <c r="B254" s="82" t="s">
        <v>1776</v>
      </c>
      <c r="C254" s="85" t="s">
        <v>584</v>
      </c>
      <c r="D254" s="85" t="s">
        <v>1788</v>
      </c>
      <c r="E254" s="85" t="s">
        <v>1196</v>
      </c>
      <c r="F254" s="85" t="s">
        <v>1071</v>
      </c>
      <c r="G254" s="90">
        <f>G255+G256</f>
        <v>0</v>
      </c>
      <c r="H254" s="90">
        <f>H255+H256</f>
        <v>0</v>
      </c>
      <c r="I254" s="422">
        <f>I255+I256</f>
        <v>0</v>
      </c>
      <c r="J254" s="203" t="e">
        <f aca="true" t="shared" si="20" ref="J254:J262">I254/G254*100</f>
        <v>#DIV/0!</v>
      </c>
      <c r="K254" s="433" t="e">
        <f t="shared" si="16"/>
        <v>#DIV/0!</v>
      </c>
    </row>
    <row r="255" spans="1:11" ht="15.75" hidden="1">
      <c r="A255" s="87" t="s">
        <v>1165</v>
      </c>
      <c r="B255" s="82" t="s">
        <v>1776</v>
      </c>
      <c r="C255" s="85" t="s">
        <v>584</v>
      </c>
      <c r="D255" s="85" t="s">
        <v>1788</v>
      </c>
      <c r="E255" s="85" t="s">
        <v>1196</v>
      </c>
      <c r="F255" s="85" t="s">
        <v>90</v>
      </c>
      <c r="G255" s="90">
        <f>418-418</f>
        <v>0</v>
      </c>
      <c r="H255" s="90">
        <f>418-418</f>
        <v>0</v>
      </c>
      <c r="I255" s="422">
        <f>418-418</f>
        <v>0</v>
      </c>
      <c r="J255" s="203" t="e">
        <f t="shared" si="20"/>
        <v>#DIV/0!</v>
      </c>
      <c r="K255" s="433" t="e">
        <f t="shared" si="16"/>
        <v>#DIV/0!</v>
      </c>
    </row>
    <row r="256" spans="1:11" ht="24" hidden="1">
      <c r="A256" s="87" t="s">
        <v>868</v>
      </c>
      <c r="B256" s="82" t="s">
        <v>1776</v>
      </c>
      <c r="C256" s="85" t="s">
        <v>584</v>
      </c>
      <c r="D256" s="85" t="s">
        <v>1788</v>
      </c>
      <c r="E256" s="85" t="s">
        <v>1196</v>
      </c>
      <c r="F256" s="85" t="s">
        <v>869</v>
      </c>
      <c r="G256" s="90">
        <f>7931-7931</f>
        <v>0</v>
      </c>
      <c r="H256" s="90">
        <f>7931-7931</f>
        <v>0</v>
      </c>
      <c r="I256" s="422">
        <f>7931-7931</f>
        <v>0</v>
      </c>
      <c r="J256" s="203" t="e">
        <f t="shared" si="20"/>
        <v>#DIV/0!</v>
      </c>
      <c r="K256" s="433" t="e">
        <f t="shared" si="16"/>
        <v>#DIV/0!</v>
      </c>
    </row>
    <row r="257" spans="1:11" ht="24">
      <c r="A257" s="93" t="s">
        <v>1362</v>
      </c>
      <c r="B257" s="82" t="s">
        <v>1776</v>
      </c>
      <c r="C257" s="85" t="s">
        <v>584</v>
      </c>
      <c r="D257" s="85" t="s">
        <v>1788</v>
      </c>
      <c r="E257" s="85" t="s">
        <v>1363</v>
      </c>
      <c r="F257" s="85"/>
      <c r="G257" s="90">
        <f>G258+G260+G263</f>
        <v>16790</v>
      </c>
      <c r="H257" s="90">
        <f>H258+H260+H263</f>
        <v>490</v>
      </c>
      <c r="I257" s="422">
        <f>I258+I260+I263</f>
        <v>452</v>
      </c>
      <c r="J257" s="203">
        <f t="shared" si="20"/>
        <v>2.692078618225134</v>
      </c>
      <c r="K257" s="433">
        <f t="shared" si="16"/>
        <v>92.24489795918367</v>
      </c>
    </row>
    <row r="258" spans="1:11" ht="24">
      <c r="A258" s="92" t="s">
        <v>1364</v>
      </c>
      <c r="B258" s="82" t="s">
        <v>1776</v>
      </c>
      <c r="C258" s="85" t="s">
        <v>584</v>
      </c>
      <c r="D258" s="85" t="s">
        <v>1788</v>
      </c>
      <c r="E258" s="85" t="s">
        <v>1365</v>
      </c>
      <c r="F258" s="85"/>
      <c r="G258" s="90">
        <f>G259+G262</f>
        <v>16790</v>
      </c>
      <c r="H258" s="90">
        <f>H259+H262</f>
        <v>0</v>
      </c>
      <c r="I258" s="422">
        <f>I259+I262</f>
        <v>0</v>
      </c>
      <c r="J258" s="203">
        <f t="shared" si="20"/>
        <v>0</v>
      </c>
      <c r="K258" s="433"/>
    </row>
    <row r="259" spans="1:11" ht="15.75" hidden="1">
      <c r="A259" s="87" t="s">
        <v>1758</v>
      </c>
      <c r="B259" s="82" t="s">
        <v>1776</v>
      </c>
      <c r="C259" s="85" t="s">
        <v>584</v>
      </c>
      <c r="D259" s="85" t="s">
        <v>1788</v>
      </c>
      <c r="E259" s="85" t="s">
        <v>1365</v>
      </c>
      <c r="F259" s="85" t="s">
        <v>1878</v>
      </c>
      <c r="G259" s="90"/>
      <c r="H259" s="90"/>
      <c r="I259" s="422"/>
      <c r="J259" s="203" t="e">
        <f t="shared" si="20"/>
        <v>#DIV/0!</v>
      </c>
      <c r="K259" s="433"/>
    </row>
    <row r="260" spans="1:11" ht="15.75" hidden="1">
      <c r="A260" s="92" t="s">
        <v>1398</v>
      </c>
      <c r="B260" s="82" t="s">
        <v>1776</v>
      </c>
      <c r="C260" s="85" t="s">
        <v>584</v>
      </c>
      <c r="D260" s="85" t="s">
        <v>1788</v>
      </c>
      <c r="E260" s="85" t="s">
        <v>1436</v>
      </c>
      <c r="F260" s="85"/>
      <c r="G260" s="90">
        <f>G261</f>
        <v>0</v>
      </c>
      <c r="H260" s="90">
        <f>H261</f>
        <v>0</v>
      </c>
      <c r="I260" s="422">
        <f>I261</f>
        <v>0</v>
      </c>
      <c r="J260" s="203" t="e">
        <f t="shared" si="20"/>
        <v>#DIV/0!</v>
      </c>
      <c r="K260" s="433"/>
    </row>
    <row r="261" spans="1:11" ht="15.75" hidden="1">
      <c r="A261" s="87" t="s">
        <v>1758</v>
      </c>
      <c r="B261" s="82" t="s">
        <v>1776</v>
      </c>
      <c r="C261" s="85" t="s">
        <v>584</v>
      </c>
      <c r="D261" s="85" t="s">
        <v>1788</v>
      </c>
      <c r="E261" s="85" t="s">
        <v>1436</v>
      </c>
      <c r="F261" s="85" t="s">
        <v>1878</v>
      </c>
      <c r="G261" s="90"/>
      <c r="H261" s="90"/>
      <c r="I261" s="422"/>
      <c r="J261" s="203" t="e">
        <f t="shared" si="20"/>
        <v>#DIV/0!</v>
      </c>
      <c r="K261" s="433"/>
    </row>
    <row r="262" spans="1:11" ht="24">
      <c r="A262" s="87" t="s">
        <v>925</v>
      </c>
      <c r="B262" s="82" t="s">
        <v>1776</v>
      </c>
      <c r="C262" s="85" t="s">
        <v>584</v>
      </c>
      <c r="D262" s="85" t="s">
        <v>1788</v>
      </c>
      <c r="E262" s="85" t="s">
        <v>1365</v>
      </c>
      <c r="F262" s="85" t="s">
        <v>926</v>
      </c>
      <c r="G262" s="90">
        <v>16790</v>
      </c>
      <c r="H262" s="90">
        <f>154-154</f>
        <v>0</v>
      </c>
      <c r="I262" s="422">
        <f>154-154</f>
        <v>0</v>
      </c>
      <c r="J262" s="203">
        <f t="shared" si="20"/>
        <v>0</v>
      </c>
      <c r="K262" s="433"/>
    </row>
    <row r="263" spans="1:11" ht="21" customHeight="1">
      <c r="A263" s="92" t="s">
        <v>1197</v>
      </c>
      <c r="B263" s="82" t="s">
        <v>1776</v>
      </c>
      <c r="C263" s="85" t="s">
        <v>584</v>
      </c>
      <c r="D263" s="85" t="s">
        <v>1788</v>
      </c>
      <c r="E263" s="85" t="s">
        <v>1198</v>
      </c>
      <c r="F263" s="85" t="s">
        <v>1071</v>
      </c>
      <c r="G263" s="90">
        <f>G264+G265</f>
        <v>0</v>
      </c>
      <c r="H263" s="90">
        <f>H264+H265</f>
        <v>490</v>
      </c>
      <c r="I263" s="422">
        <f>I264+I265</f>
        <v>452</v>
      </c>
      <c r="J263" s="203"/>
      <c r="K263" s="433">
        <f t="shared" si="16"/>
        <v>92.24489795918367</v>
      </c>
    </row>
    <row r="264" spans="1:11" ht="20.25" customHeight="1">
      <c r="A264" s="87" t="s">
        <v>743</v>
      </c>
      <c r="B264" s="82" t="s">
        <v>1776</v>
      </c>
      <c r="C264" s="85" t="s">
        <v>584</v>
      </c>
      <c r="D264" s="85" t="s">
        <v>1788</v>
      </c>
      <c r="E264" s="85" t="s">
        <v>1198</v>
      </c>
      <c r="F264" s="85" t="s">
        <v>744</v>
      </c>
      <c r="G264" s="90"/>
      <c r="H264" s="90">
        <v>105</v>
      </c>
      <c r="I264" s="422">
        <v>81.2</v>
      </c>
      <c r="J264" s="203"/>
      <c r="K264" s="433">
        <f t="shared" si="16"/>
        <v>77.33333333333333</v>
      </c>
    </row>
    <row r="265" spans="1:11" ht="24">
      <c r="A265" s="87" t="s">
        <v>295</v>
      </c>
      <c r="B265" s="82" t="s">
        <v>1776</v>
      </c>
      <c r="C265" s="85" t="s">
        <v>584</v>
      </c>
      <c r="D265" s="85" t="s">
        <v>1788</v>
      </c>
      <c r="E265" s="85" t="s">
        <v>1198</v>
      </c>
      <c r="F265" s="85" t="s">
        <v>296</v>
      </c>
      <c r="G265" s="90"/>
      <c r="H265" s="90">
        <v>385</v>
      </c>
      <c r="I265" s="422">
        <v>370.8</v>
      </c>
      <c r="J265" s="203"/>
      <c r="K265" s="433">
        <f t="shared" si="16"/>
        <v>96.31168831168831</v>
      </c>
    </row>
    <row r="266" spans="1:11" ht="48">
      <c r="A266" s="94" t="s">
        <v>1366</v>
      </c>
      <c r="B266" s="82" t="s">
        <v>1776</v>
      </c>
      <c r="C266" s="85" t="s">
        <v>584</v>
      </c>
      <c r="D266" s="85" t="s">
        <v>1788</v>
      </c>
      <c r="E266" s="85" t="s">
        <v>1367</v>
      </c>
      <c r="F266" s="85"/>
      <c r="G266" s="90">
        <f>G267+G269+G271</f>
        <v>63863</v>
      </c>
      <c r="H266" s="90">
        <f>H267+H269+H271</f>
        <v>54724.7</v>
      </c>
      <c r="I266" s="422">
        <f>I267+I269+I271</f>
        <v>54704</v>
      </c>
      <c r="J266" s="203">
        <f>I266/G266*100</f>
        <v>85.65836243208118</v>
      </c>
      <c r="K266" s="433">
        <f t="shared" si="16"/>
        <v>99.9621743015494</v>
      </c>
    </row>
    <row r="267" spans="1:11" ht="60">
      <c r="A267" s="108" t="s">
        <v>1343</v>
      </c>
      <c r="B267" s="82" t="s">
        <v>1776</v>
      </c>
      <c r="C267" s="85" t="s">
        <v>584</v>
      </c>
      <c r="D267" s="85" t="s">
        <v>1788</v>
      </c>
      <c r="E267" s="85" t="s">
        <v>1583</v>
      </c>
      <c r="F267" s="85" t="s">
        <v>1071</v>
      </c>
      <c r="G267" s="90">
        <f>G268</f>
        <v>0</v>
      </c>
      <c r="H267" s="90">
        <f>H268</f>
        <v>1082</v>
      </c>
      <c r="I267" s="422">
        <f>I268</f>
        <v>1076.1</v>
      </c>
      <c r="J267" s="203"/>
      <c r="K267" s="433">
        <f t="shared" si="16"/>
        <v>99.45471349353049</v>
      </c>
    </row>
    <row r="268" spans="1:11" ht="24">
      <c r="A268" s="87" t="s">
        <v>743</v>
      </c>
      <c r="B268" s="82" t="s">
        <v>1776</v>
      </c>
      <c r="C268" s="85" t="s">
        <v>584</v>
      </c>
      <c r="D268" s="85" t="s">
        <v>1788</v>
      </c>
      <c r="E268" s="85" t="s">
        <v>1583</v>
      </c>
      <c r="F268" s="85" t="s">
        <v>744</v>
      </c>
      <c r="G268" s="90"/>
      <c r="H268" s="90">
        <f>932+150</f>
        <v>1082</v>
      </c>
      <c r="I268" s="422">
        <v>1076.1</v>
      </c>
      <c r="J268" s="203"/>
      <c r="K268" s="433">
        <f t="shared" si="16"/>
        <v>99.45471349353049</v>
      </c>
    </row>
    <row r="269" spans="1:11" ht="120">
      <c r="A269" s="92" t="s">
        <v>1749</v>
      </c>
      <c r="B269" s="82" t="s">
        <v>1776</v>
      </c>
      <c r="C269" s="85" t="s">
        <v>584</v>
      </c>
      <c r="D269" s="85" t="s">
        <v>1788</v>
      </c>
      <c r="E269" s="85" t="s">
        <v>1585</v>
      </c>
      <c r="F269" s="85" t="s">
        <v>1071</v>
      </c>
      <c r="G269" s="90">
        <f>G270</f>
        <v>0</v>
      </c>
      <c r="H269" s="90">
        <f>H270</f>
        <v>1941.7</v>
      </c>
      <c r="I269" s="422">
        <f>I270</f>
        <v>1933.2</v>
      </c>
      <c r="J269" s="203"/>
      <c r="K269" s="433">
        <f t="shared" si="16"/>
        <v>99.56223927486224</v>
      </c>
    </row>
    <row r="270" spans="1:11" ht="24">
      <c r="A270" s="87" t="s">
        <v>295</v>
      </c>
      <c r="B270" s="82" t="s">
        <v>1776</v>
      </c>
      <c r="C270" s="85" t="s">
        <v>584</v>
      </c>
      <c r="D270" s="85" t="s">
        <v>1788</v>
      </c>
      <c r="E270" s="85" t="s">
        <v>1585</v>
      </c>
      <c r="F270" s="85" t="s">
        <v>296</v>
      </c>
      <c r="G270" s="90"/>
      <c r="H270" s="90">
        <f>1785.7+156</f>
        <v>1941.7</v>
      </c>
      <c r="I270" s="422">
        <v>1933.2</v>
      </c>
      <c r="J270" s="203"/>
      <c r="K270" s="433">
        <f t="shared" si="16"/>
        <v>99.56223927486224</v>
      </c>
    </row>
    <row r="271" spans="1:11" ht="24">
      <c r="A271" s="87" t="s">
        <v>661</v>
      </c>
      <c r="B271" s="82" t="s">
        <v>1776</v>
      </c>
      <c r="C271" s="85" t="s">
        <v>584</v>
      </c>
      <c r="D271" s="85" t="s">
        <v>1788</v>
      </c>
      <c r="E271" s="85" t="s">
        <v>1416</v>
      </c>
      <c r="F271" s="85" t="s">
        <v>1071</v>
      </c>
      <c r="G271" s="90">
        <f>G272+G276</f>
        <v>63863</v>
      </c>
      <c r="H271" s="90">
        <f>H272+H276</f>
        <v>51701</v>
      </c>
      <c r="I271" s="422">
        <f>I272+I276</f>
        <v>51694.7</v>
      </c>
      <c r="J271" s="203">
        <f aca="true" t="shared" si="21" ref="J271:J277">I271/G271*100</f>
        <v>80.94624430421369</v>
      </c>
      <c r="K271" s="433">
        <f t="shared" si="16"/>
        <v>99.9878145490416</v>
      </c>
    </row>
    <row r="272" spans="1:11" ht="21.75" customHeight="1">
      <c r="A272" s="87" t="s">
        <v>743</v>
      </c>
      <c r="B272" s="82" t="s">
        <v>1776</v>
      </c>
      <c r="C272" s="85" t="s">
        <v>584</v>
      </c>
      <c r="D272" s="85" t="s">
        <v>1788</v>
      </c>
      <c r="E272" s="85" t="s">
        <v>1416</v>
      </c>
      <c r="F272" s="85" t="s">
        <v>744</v>
      </c>
      <c r="G272" s="90">
        <f>G273+G274</f>
        <v>52625</v>
      </c>
      <c r="H272" s="90">
        <f>H273+H274</f>
        <v>45225</v>
      </c>
      <c r="I272" s="422">
        <f>I273+I274</f>
        <v>45223</v>
      </c>
      <c r="J272" s="203">
        <f t="shared" si="21"/>
        <v>85.93444180522566</v>
      </c>
      <c r="K272" s="433">
        <f t="shared" si="16"/>
        <v>99.99557766721946</v>
      </c>
    </row>
    <row r="273" spans="1:11" ht="21" customHeight="1">
      <c r="A273" s="87" t="s">
        <v>745</v>
      </c>
      <c r="B273" s="82" t="s">
        <v>1776</v>
      </c>
      <c r="C273" s="85" t="s">
        <v>584</v>
      </c>
      <c r="D273" s="85" t="s">
        <v>1788</v>
      </c>
      <c r="E273" s="85" t="s">
        <v>1416</v>
      </c>
      <c r="F273" s="85" t="s">
        <v>746</v>
      </c>
      <c r="G273" s="90">
        <v>52125</v>
      </c>
      <c r="H273" s="90">
        <v>45225</v>
      </c>
      <c r="I273" s="422">
        <v>45223</v>
      </c>
      <c r="J273" s="203">
        <f t="shared" si="21"/>
        <v>86.75875299760192</v>
      </c>
      <c r="K273" s="433">
        <f t="shared" si="16"/>
        <v>99.99557766721946</v>
      </c>
    </row>
    <row r="274" spans="1:11" ht="14.25" customHeight="1">
      <c r="A274" s="87" t="s">
        <v>1701</v>
      </c>
      <c r="B274" s="82" t="s">
        <v>1776</v>
      </c>
      <c r="C274" s="85" t="s">
        <v>584</v>
      </c>
      <c r="D274" s="85" t="s">
        <v>1788</v>
      </c>
      <c r="E274" s="85" t="s">
        <v>1416</v>
      </c>
      <c r="F274" s="85" t="s">
        <v>1637</v>
      </c>
      <c r="G274" s="90">
        <f>G275</f>
        <v>500</v>
      </c>
      <c r="H274" s="90">
        <f>H275</f>
        <v>0</v>
      </c>
      <c r="I274" s="422">
        <f>I275</f>
        <v>0</v>
      </c>
      <c r="J274" s="203">
        <f t="shared" si="21"/>
        <v>0</v>
      </c>
      <c r="K274" s="433"/>
    </row>
    <row r="275" spans="1:11" ht="18.75" customHeight="1">
      <c r="A275" s="87" t="s">
        <v>1586</v>
      </c>
      <c r="B275" s="82" t="s">
        <v>1776</v>
      </c>
      <c r="C275" s="85" t="s">
        <v>584</v>
      </c>
      <c r="D275" s="85" t="s">
        <v>1788</v>
      </c>
      <c r="E275" s="85" t="s">
        <v>1587</v>
      </c>
      <c r="F275" s="85" t="s">
        <v>1637</v>
      </c>
      <c r="G275" s="90">
        <v>500</v>
      </c>
      <c r="H275" s="90">
        <v>0</v>
      </c>
      <c r="I275" s="422"/>
      <c r="J275" s="203">
        <f t="shared" si="21"/>
        <v>0</v>
      </c>
      <c r="K275" s="433"/>
    </row>
    <row r="276" spans="1:11" ht="18.75" customHeight="1">
      <c r="A276" s="87" t="s">
        <v>295</v>
      </c>
      <c r="B276" s="82" t="s">
        <v>1776</v>
      </c>
      <c r="C276" s="85" t="s">
        <v>584</v>
      </c>
      <c r="D276" s="85" t="s">
        <v>1788</v>
      </c>
      <c r="E276" s="85" t="s">
        <v>1416</v>
      </c>
      <c r="F276" s="85" t="s">
        <v>296</v>
      </c>
      <c r="G276" s="90">
        <f>G277</f>
        <v>11238</v>
      </c>
      <c r="H276" s="90">
        <f>H277</f>
        <v>6476</v>
      </c>
      <c r="I276" s="422">
        <f>I277</f>
        <v>6471.7</v>
      </c>
      <c r="J276" s="203">
        <f t="shared" si="21"/>
        <v>57.58764904787329</v>
      </c>
      <c r="K276" s="433">
        <f t="shared" si="16"/>
        <v>99.93360098826436</v>
      </c>
    </row>
    <row r="277" spans="1:11" ht="20.25" customHeight="1">
      <c r="A277" s="87" t="s">
        <v>303</v>
      </c>
      <c r="B277" s="82" t="s">
        <v>1776</v>
      </c>
      <c r="C277" s="85" t="s">
        <v>584</v>
      </c>
      <c r="D277" s="85" t="s">
        <v>1788</v>
      </c>
      <c r="E277" s="85" t="s">
        <v>1416</v>
      </c>
      <c r="F277" s="85" t="s">
        <v>304</v>
      </c>
      <c r="G277" s="90">
        <v>11238</v>
      </c>
      <c r="H277" s="90">
        <v>6476</v>
      </c>
      <c r="I277" s="422">
        <v>6471.7</v>
      </c>
      <c r="J277" s="203">
        <f t="shared" si="21"/>
        <v>57.58764904787329</v>
      </c>
      <c r="K277" s="433">
        <f t="shared" si="16"/>
        <v>99.93360098826436</v>
      </c>
    </row>
    <row r="278" spans="1:11" ht="32.25" customHeight="1" hidden="1">
      <c r="A278" s="86" t="s">
        <v>854</v>
      </c>
      <c r="B278" s="82" t="s">
        <v>1776</v>
      </c>
      <c r="C278" s="85" t="s">
        <v>584</v>
      </c>
      <c r="D278" s="85" t="s">
        <v>1788</v>
      </c>
      <c r="E278" s="85" t="s">
        <v>855</v>
      </c>
      <c r="F278" s="85"/>
      <c r="G278" s="90">
        <f aca="true" t="shared" si="22" ref="G278:I279">G279</f>
        <v>0</v>
      </c>
      <c r="H278" s="90">
        <f t="shared" si="22"/>
        <v>0</v>
      </c>
      <c r="I278" s="422">
        <f t="shared" si="22"/>
        <v>0</v>
      </c>
      <c r="J278" s="203"/>
      <c r="K278" s="433"/>
    </row>
    <row r="279" spans="1:11" ht="24" hidden="1">
      <c r="A279" s="87" t="s">
        <v>1368</v>
      </c>
      <c r="B279" s="82" t="s">
        <v>1776</v>
      </c>
      <c r="C279" s="85" t="s">
        <v>584</v>
      </c>
      <c r="D279" s="85" t="s">
        <v>1788</v>
      </c>
      <c r="E279" s="85" t="s">
        <v>855</v>
      </c>
      <c r="F279" s="85" t="s">
        <v>1071</v>
      </c>
      <c r="G279" s="90">
        <f t="shared" si="22"/>
        <v>0</v>
      </c>
      <c r="H279" s="90">
        <f t="shared" si="22"/>
        <v>0</v>
      </c>
      <c r="I279" s="422">
        <f t="shared" si="22"/>
        <v>0</v>
      </c>
      <c r="J279" s="203"/>
      <c r="K279" s="433"/>
    </row>
    <row r="280" spans="1:11" ht="15.75" hidden="1">
      <c r="A280" s="87" t="s">
        <v>1369</v>
      </c>
      <c r="B280" s="82" t="s">
        <v>1776</v>
      </c>
      <c r="C280" s="85" t="s">
        <v>584</v>
      </c>
      <c r="D280" s="85" t="s">
        <v>1788</v>
      </c>
      <c r="E280" s="85" t="s">
        <v>855</v>
      </c>
      <c r="F280" s="85" t="s">
        <v>1370</v>
      </c>
      <c r="G280" s="90"/>
      <c r="H280" s="90"/>
      <c r="I280" s="422"/>
      <c r="J280" s="203"/>
      <c r="K280" s="433"/>
    </row>
    <row r="281" spans="1:11" ht="24">
      <c r="A281" s="86" t="s">
        <v>909</v>
      </c>
      <c r="B281" s="82" t="s">
        <v>1776</v>
      </c>
      <c r="C281" s="85" t="s">
        <v>584</v>
      </c>
      <c r="D281" s="85" t="s">
        <v>1788</v>
      </c>
      <c r="E281" s="85" t="s">
        <v>910</v>
      </c>
      <c r="F281" s="85"/>
      <c r="G281" s="90">
        <f>G282+G293</f>
        <v>6862</v>
      </c>
      <c r="H281" s="90">
        <f>H282+H293</f>
        <v>18133.5</v>
      </c>
      <c r="I281" s="422">
        <f>I282+I293</f>
        <v>17383.800000000003</v>
      </c>
      <c r="J281" s="421" t="s">
        <v>1212</v>
      </c>
      <c r="K281" s="433">
        <f aca="true" t="shared" si="23" ref="K281:K320">I281/H281*100</f>
        <v>95.86566299942098</v>
      </c>
    </row>
    <row r="282" spans="1:11" ht="24">
      <c r="A282" s="111" t="s">
        <v>1588</v>
      </c>
      <c r="B282" s="82" t="s">
        <v>1776</v>
      </c>
      <c r="C282" s="83" t="s">
        <v>584</v>
      </c>
      <c r="D282" s="83" t="s">
        <v>1788</v>
      </c>
      <c r="E282" s="83" t="s">
        <v>1700</v>
      </c>
      <c r="F282" s="85" t="s">
        <v>1071</v>
      </c>
      <c r="G282" s="90">
        <f>G283+G284+G286</f>
        <v>6762</v>
      </c>
      <c r="H282" s="90">
        <f>H283+H286</f>
        <v>18033.5</v>
      </c>
      <c r="I282" s="422">
        <f>I283+I286</f>
        <v>17283.800000000003</v>
      </c>
      <c r="J282" s="421" t="s">
        <v>1212</v>
      </c>
      <c r="K282" s="433">
        <f t="shared" si="23"/>
        <v>95.84273712812268</v>
      </c>
    </row>
    <row r="283" spans="1:11" ht="24">
      <c r="A283" s="87" t="s">
        <v>1165</v>
      </c>
      <c r="B283" s="82" t="s">
        <v>1776</v>
      </c>
      <c r="C283" s="83" t="s">
        <v>584</v>
      </c>
      <c r="D283" s="83" t="s">
        <v>1788</v>
      </c>
      <c r="E283" s="83" t="s">
        <v>1700</v>
      </c>
      <c r="F283" s="85" t="s">
        <v>90</v>
      </c>
      <c r="G283" s="90"/>
      <c r="H283" s="90">
        <v>8262</v>
      </c>
      <c r="I283" s="422">
        <v>7780.1</v>
      </c>
      <c r="J283" s="203"/>
      <c r="K283" s="433">
        <f t="shared" si="23"/>
        <v>94.16727184701041</v>
      </c>
    </row>
    <row r="284" spans="1:11" ht="24">
      <c r="A284" s="87" t="s">
        <v>1701</v>
      </c>
      <c r="B284" s="82" t="s">
        <v>1776</v>
      </c>
      <c r="C284" s="83" t="s">
        <v>584</v>
      </c>
      <c r="D284" s="83" t="s">
        <v>1788</v>
      </c>
      <c r="E284" s="83" t="s">
        <v>1700</v>
      </c>
      <c r="F284" s="85" t="s">
        <v>1637</v>
      </c>
      <c r="G284" s="90">
        <f>G285</f>
        <v>6762</v>
      </c>
      <c r="H284" s="90">
        <f>H285</f>
        <v>0</v>
      </c>
      <c r="I284" s="422">
        <f>I285</f>
        <v>0</v>
      </c>
      <c r="J284" s="203">
        <f aca="true" t="shared" si="24" ref="J284:J316">I284/G284*100</f>
        <v>0</v>
      </c>
      <c r="K284" s="433"/>
    </row>
    <row r="285" spans="1:11" ht="24">
      <c r="A285" s="87" t="s">
        <v>1823</v>
      </c>
      <c r="B285" s="82" t="s">
        <v>1776</v>
      </c>
      <c r="C285" s="83" t="s">
        <v>584</v>
      </c>
      <c r="D285" s="83" t="s">
        <v>1788</v>
      </c>
      <c r="E285" s="83" t="s">
        <v>1700</v>
      </c>
      <c r="F285" s="85" t="s">
        <v>1637</v>
      </c>
      <c r="G285" s="90">
        <v>6762</v>
      </c>
      <c r="H285" s="90"/>
      <c r="I285" s="422"/>
      <c r="J285" s="203">
        <f t="shared" si="24"/>
        <v>0</v>
      </c>
      <c r="K285" s="433"/>
    </row>
    <row r="286" spans="1:11" ht="36">
      <c r="A286" s="87" t="s">
        <v>200</v>
      </c>
      <c r="B286" s="97" t="s">
        <v>1776</v>
      </c>
      <c r="C286" s="83" t="s">
        <v>584</v>
      </c>
      <c r="D286" s="83" t="s">
        <v>1788</v>
      </c>
      <c r="E286" s="83" t="s">
        <v>201</v>
      </c>
      <c r="F286" s="85" t="s">
        <v>1071</v>
      </c>
      <c r="G286" s="90">
        <f>G287+G291</f>
        <v>0</v>
      </c>
      <c r="H286" s="90">
        <f>H287+H291</f>
        <v>9771.5</v>
      </c>
      <c r="I286" s="422">
        <f>I287+I291</f>
        <v>9503.7</v>
      </c>
      <c r="J286" s="203"/>
      <c r="K286" s="433">
        <f t="shared" si="23"/>
        <v>97.25937675894183</v>
      </c>
    </row>
    <row r="287" spans="1:11" ht="24">
      <c r="A287" s="87" t="s">
        <v>743</v>
      </c>
      <c r="B287" s="97" t="s">
        <v>1776</v>
      </c>
      <c r="C287" s="83" t="s">
        <v>584</v>
      </c>
      <c r="D287" s="83" t="s">
        <v>1788</v>
      </c>
      <c r="E287" s="83" t="s">
        <v>201</v>
      </c>
      <c r="F287" s="83" t="s">
        <v>744</v>
      </c>
      <c r="G287" s="84">
        <f>G288+G289</f>
        <v>0</v>
      </c>
      <c r="H287" s="84">
        <f>H288+H289</f>
        <v>7379</v>
      </c>
      <c r="I287" s="426">
        <f>I288+I289</f>
        <v>7181.4</v>
      </c>
      <c r="J287" s="203"/>
      <c r="K287" s="433">
        <f t="shared" si="23"/>
        <v>97.32213036996883</v>
      </c>
    </row>
    <row r="288" spans="1:11" ht="24">
      <c r="A288" s="87" t="s">
        <v>745</v>
      </c>
      <c r="B288" s="97" t="s">
        <v>1776</v>
      </c>
      <c r="C288" s="83" t="s">
        <v>584</v>
      </c>
      <c r="D288" s="83" t="s">
        <v>1788</v>
      </c>
      <c r="E288" s="83" t="s">
        <v>201</v>
      </c>
      <c r="F288" s="83" t="s">
        <v>746</v>
      </c>
      <c r="G288" s="84"/>
      <c r="H288" s="84">
        <f>5979+99+500</f>
        <v>6578</v>
      </c>
      <c r="I288" s="426">
        <v>6425</v>
      </c>
      <c r="J288" s="203"/>
      <c r="K288" s="433">
        <f t="shared" si="23"/>
        <v>97.6740650653694</v>
      </c>
    </row>
    <row r="289" spans="1:11" ht="24">
      <c r="A289" s="87" t="s">
        <v>1640</v>
      </c>
      <c r="B289" s="97" t="s">
        <v>1776</v>
      </c>
      <c r="C289" s="83" t="s">
        <v>584</v>
      </c>
      <c r="D289" s="83" t="s">
        <v>1788</v>
      </c>
      <c r="E289" s="83" t="s">
        <v>201</v>
      </c>
      <c r="F289" s="83" t="s">
        <v>1637</v>
      </c>
      <c r="G289" s="90">
        <f>G290</f>
        <v>0</v>
      </c>
      <c r="H289" s="90">
        <f>H290</f>
        <v>801</v>
      </c>
      <c r="I289" s="422">
        <f>I290</f>
        <v>756.4</v>
      </c>
      <c r="J289" s="203"/>
      <c r="K289" s="433">
        <f t="shared" si="23"/>
        <v>94.43196004993759</v>
      </c>
    </row>
    <row r="290" spans="1:11" ht="24">
      <c r="A290" s="87" t="s">
        <v>1344</v>
      </c>
      <c r="B290" s="97" t="s">
        <v>1776</v>
      </c>
      <c r="C290" s="83" t="s">
        <v>584</v>
      </c>
      <c r="D290" s="83" t="s">
        <v>1788</v>
      </c>
      <c r="E290" s="83" t="s">
        <v>201</v>
      </c>
      <c r="F290" s="83" t="s">
        <v>1637</v>
      </c>
      <c r="G290" s="90"/>
      <c r="H290" s="90">
        <f>900-99</f>
        <v>801</v>
      </c>
      <c r="I290" s="422">
        <v>756.4</v>
      </c>
      <c r="J290" s="203"/>
      <c r="K290" s="433">
        <f t="shared" si="23"/>
        <v>94.43196004993759</v>
      </c>
    </row>
    <row r="291" spans="1:11" ht="24">
      <c r="A291" s="87" t="s">
        <v>295</v>
      </c>
      <c r="B291" s="97" t="s">
        <v>1776</v>
      </c>
      <c r="C291" s="83" t="s">
        <v>584</v>
      </c>
      <c r="D291" s="83" t="s">
        <v>1788</v>
      </c>
      <c r="E291" s="83" t="s">
        <v>201</v>
      </c>
      <c r="F291" s="83" t="s">
        <v>296</v>
      </c>
      <c r="G291" s="90">
        <f>G292</f>
        <v>0</v>
      </c>
      <c r="H291" s="90">
        <f>H292</f>
        <v>2392.5</v>
      </c>
      <c r="I291" s="422">
        <f>I292</f>
        <v>2322.3</v>
      </c>
      <c r="J291" s="203"/>
      <c r="K291" s="433">
        <f t="shared" si="23"/>
        <v>97.06583072100314</v>
      </c>
    </row>
    <row r="292" spans="1:11" ht="24">
      <c r="A292" s="87" t="s">
        <v>303</v>
      </c>
      <c r="B292" s="97" t="s">
        <v>1776</v>
      </c>
      <c r="C292" s="83" t="s">
        <v>584</v>
      </c>
      <c r="D292" s="83" t="s">
        <v>1788</v>
      </c>
      <c r="E292" s="83" t="s">
        <v>201</v>
      </c>
      <c r="F292" s="83" t="s">
        <v>304</v>
      </c>
      <c r="G292" s="90"/>
      <c r="H292" s="90">
        <f>2297+95.5</f>
        <v>2392.5</v>
      </c>
      <c r="I292" s="422">
        <v>2322.3</v>
      </c>
      <c r="J292" s="203"/>
      <c r="K292" s="433">
        <f t="shared" si="23"/>
        <v>97.06583072100314</v>
      </c>
    </row>
    <row r="293" spans="1:11" ht="36">
      <c r="A293" s="87" t="s">
        <v>1707</v>
      </c>
      <c r="B293" s="97" t="s">
        <v>1776</v>
      </c>
      <c r="C293" s="83" t="s">
        <v>584</v>
      </c>
      <c r="D293" s="83" t="s">
        <v>1788</v>
      </c>
      <c r="E293" s="83" t="s">
        <v>741</v>
      </c>
      <c r="F293" s="83" t="s">
        <v>1071</v>
      </c>
      <c r="G293" s="90">
        <f>G294+G295</f>
        <v>100</v>
      </c>
      <c r="H293" s="90">
        <f>H294</f>
        <v>100</v>
      </c>
      <c r="I293" s="422">
        <f>I294</f>
        <v>100</v>
      </c>
      <c r="J293" s="203">
        <f t="shared" si="24"/>
        <v>100</v>
      </c>
      <c r="K293" s="433">
        <f t="shared" si="23"/>
        <v>100</v>
      </c>
    </row>
    <row r="294" spans="1:11" ht="24">
      <c r="A294" s="87" t="s">
        <v>1165</v>
      </c>
      <c r="B294" s="97" t="s">
        <v>1776</v>
      </c>
      <c r="C294" s="83" t="s">
        <v>584</v>
      </c>
      <c r="D294" s="83" t="s">
        <v>1788</v>
      </c>
      <c r="E294" s="83" t="s">
        <v>741</v>
      </c>
      <c r="F294" s="83" t="s">
        <v>90</v>
      </c>
      <c r="G294" s="90"/>
      <c r="H294" s="90">
        <v>100</v>
      </c>
      <c r="I294" s="422">
        <v>100</v>
      </c>
      <c r="J294" s="203"/>
      <c r="K294" s="433">
        <f t="shared" si="23"/>
        <v>100</v>
      </c>
    </row>
    <row r="295" spans="1:11" ht="24">
      <c r="A295" s="87" t="s">
        <v>743</v>
      </c>
      <c r="B295" s="97" t="s">
        <v>1776</v>
      </c>
      <c r="C295" s="83" t="s">
        <v>584</v>
      </c>
      <c r="D295" s="83" t="s">
        <v>1788</v>
      </c>
      <c r="E295" s="83" t="s">
        <v>741</v>
      </c>
      <c r="F295" s="83" t="s">
        <v>744</v>
      </c>
      <c r="G295" s="90">
        <f aca="true" t="shared" si="25" ref="G295:I296">G296</f>
        <v>100</v>
      </c>
      <c r="H295" s="90">
        <f t="shared" si="25"/>
        <v>0</v>
      </c>
      <c r="I295" s="422">
        <f t="shared" si="25"/>
        <v>0</v>
      </c>
      <c r="J295" s="203">
        <f t="shared" si="24"/>
        <v>0</v>
      </c>
      <c r="K295" s="433"/>
    </row>
    <row r="296" spans="1:11" ht="24">
      <c r="A296" s="87" t="s">
        <v>1167</v>
      </c>
      <c r="B296" s="97" t="s">
        <v>1776</v>
      </c>
      <c r="C296" s="83" t="s">
        <v>584</v>
      </c>
      <c r="D296" s="83" t="s">
        <v>1788</v>
      </c>
      <c r="E296" s="83" t="s">
        <v>741</v>
      </c>
      <c r="F296" s="83" t="s">
        <v>1637</v>
      </c>
      <c r="G296" s="90">
        <f t="shared" si="25"/>
        <v>100</v>
      </c>
      <c r="H296" s="90">
        <f t="shared" si="25"/>
        <v>0</v>
      </c>
      <c r="I296" s="422">
        <f t="shared" si="25"/>
        <v>0</v>
      </c>
      <c r="J296" s="203">
        <f t="shared" si="24"/>
        <v>0</v>
      </c>
      <c r="K296" s="433"/>
    </row>
    <row r="297" spans="1:11" ht="24">
      <c r="A297" s="87" t="s">
        <v>1590</v>
      </c>
      <c r="B297" s="97" t="s">
        <v>1776</v>
      </c>
      <c r="C297" s="83" t="s">
        <v>584</v>
      </c>
      <c r="D297" s="83" t="s">
        <v>1788</v>
      </c>
      <c r="E297" s="83" t="s">
        <v>741</v>
      </c>
      <c r="F297" s="83" t="s">
        <v>1637</v>
      </c>
      <c r="G297" s="90">
        <v>100</v>
      </c>
      <c r="H297" s="90">
        <f>100-100</f>
        <v>0</v>
      </c>
      <c r="I297" s="422">
        <f>100-100</f>
        <v>0</v>
      </c>
      <c r="J297" s="203">
        <f t="shared" si="24"/>
        <v>0</v>
      </c>
      <c r="K297" s="433"/>
    </row>
    <row r="298" spans="1:11" ht="15">
      <c r="A298" s="88" t="s">
        <v>246</v>
      </c>
      <c r="B298" s="82" t="s">
        <v>1776</v>
      </c>
      <c r="C298" s="85" t="s">
        <v>1795</v>
      </c>
      <c r="D298" s="85"/>
      <c r="E298" s="85"/>
      <c r="F298" s="85"/>
      <c r="G298" s="90">
        <f>G299+G313</f>
        <v>24150</v>
      </c>
      <c r="H298" s="90">
        <f>H299+H313</f>
        <v>24542.3</v>
      </c>
      <c r="I298" s="422">
        <f>I299+I313</f>
        <v>23375.100000000002</v>
      </c>
      <c r="J298" s="203">
        <f t="shared" si="24"/>
        <v>96.7913043478261</v>
      </c>
      <c r="K298" s="433">
        <f t="shared" si="23"/>
        <v>95.24412952331282</v>
      </c>
    </row>
    <row r="299" spans="1:11" ht="15">
      <c r="A299" s="91" t="s">
        <v>358</v>
      </c>
      <c r="B299" s="82" t="s">
        <v>1776</v>
      </c>
      <c r="C299" s="85" t="s">
        <v>1795</v>
      </c>
      <c r="D299" s="85" t="s">
        <v>1598</v>
      </c>
      <c r="E299" s="85"/>
      <c r="F299" s="85"/>
      <c r="G299" s="90">
        <f>G300+G302+G307+G310</f>
        <v>4222</v>
      </c>
      <c r="H299" s="90">
        <f>H300+H302+H307+H310</f>
        <v>4222</v>
      </c>
      <c r="I299" s="422">
        <f>I300+I302+I307+I310</f>
        <v>3823</v>
      </c>
      <c r="J299" s="203">
        <f t="shared" si="24"/>
        <v>90.54950260540029</v>
      </c>
      <c r="K299" s="433">
        <f t="shared" si="23"/>
        <v>90.54950260540029</v>
      </c>
    </row>
    <row r="300" spans="1:11" ht="120">
      <c r="A300" s="92" t="s">
        <v>1712</v>
      </c>
      <c r="B300" s="82" t="s">
        <v>1776</v>
      </c>
      <c r="C300" s="85" t="s">
        <v>1713</v>
      </c>
      <c r="D300" s="85" t="s">
        <v>1598</v>
      </c>
      <c r="E300" s="85" t="s">
        <v>1714</v>
      </c>
      <c r="F300" s="85" t="s">
        <v>1071</v>
      </c>
      <c r="G300" s="90">
        <f>G301</f>
        <v>0</v>
      </c>
      <c r="H300" s="90">
        <f>H301</f>
        <v>1222</v>
      </c>
      <c r="I300" s="422">
        <f>I301</f>
        <v>1094</v>
      </c>
      <c r="J300" s="203"/>
      <c r="K300" s="433">
        <f t="shared" si="23"/>
        <v>89.52536824877251</v>
      </c>
    </row>
    <row r="301" spans="1:11" ht="24">
      <c r="A301" s="92" t="s">
        <v>1715</v>
      </c>
      <c r="B301" s="82" t="s">
        <v>1776</v>
      </c>
      <c r="C301" s="85" t="s">
        <v>1713</v>
      </c>
      <c r="D301" s="85" t="s">
        <v>1598</v>
      </c>
      <c r="E301" s="85" t="s">
        <v>1714</v>
      </c>
      <c r="F301" s="85" t="s">
        <v>869</v>
      </c>
      <c r="G301" s="90"/>
      <c r="H301" s="90">
        <v>1222</v>
      </c>
      <c r="I301" s="422">
        <v>1094</v>
      </c>
      <c r="J301" s="203"/>
      <c r="K301" s="433">
        <f t="shared" si="23"/>
        <v>89.52536824877251</v>
      </c>
    </row>
    <row r="302" spans="1:11" ht="24">
      <c r="A302" s="93" t="s">
        <v>1605</v>
      </c>
      <c r="B302" s="82" t="s">
        <v>1776</v>
      </c>
      <c r="C302" s="85" t="s">
        <v>1795</v>
      </c>
      <c r="D302" s="85" t="s">
        <v>1598</v>
      </c>
      <c r="E302" s="85" t="s">
        <v>1606</v>
      </c>
      <c r="F302" s="85"/>
      <c r="G302" s="90">
        <f>G305+G303</f>
        <v>3000</v>
      </c>
      <c r="H302" s="90">
        <f>H305+H303</f>
        <v>0</v>
      </c>
      <c r="I302" s="422">
        <f>I305+I303</f>
        <v>0</v>
      </c>
      <c r="J302" s="203">
        <f t="shared" si="24"/>
        <v>0</v>
      </c>
      <c r="K302" s="433"/>
    </row>
    <row r="303" spans="1:11" ht="24">
      <c r="A303" s="369" t="s">
        <v>528</v>
      </c>
      <c r="B303" s="82" t="s">
        <v>1776</v>
      </c>
      <c r="C303" s="85" t="s">
        <v>1795</v>
      </c>
      <c r="D303" s="85" t="s">
        <v>1598</v>
      </c>
      <c r="E303" s="85" t="s">
        <v>526</v>
      </c>
      <c r="F303" s="85" t="s">
        <v>1071</v>
      </c>
      <c r="G303" s="90">
        <f>G304</f>
        <v>3000</v>
      </c>
      <c r="H303" s="90">
        <f>H304</f>
        <v>0</v>
      </c>
      <c r="I303" s="422">
        <f>I304</f>
        <v>0</v>
      </c>
      <c r="J303" s="203">
        <f t="shared" si="24"/>
        <v>0</v>
      </c>
      <c r="K303" s="433"/>
    </row>
    <row r="304" spans="1:11" ht="24">
      <c r="A304" s="92" t="s">
        <v>529</v>
      </c>
      <c r="B304" s="82" t="s">
        <v>1776</v>
      </c>
      <c r="C304" s="85" t="s">
        <v>1795</v>
      </c>
      <c r="D304" s="85" t="s">
        <v>1598</v>
      </c>
      <c r="E304" s="85" t="s">
        <v>526</v>
      </c>
      <c r="F304" s="85" t="s">
        <v>1880</v>
      </c>
      <c r="G304" s="90">
        <v>3000</v>
      </c>
      <c r="H304" s="90">
        <v>0</v>
      </c>
      <c r="I304" s="422"/>
      <c r="J304" s="203">
        <f t="shared" si="24"/>
        <v>0</v>
      </c>
      <c r="K304" s="433"/>
    </row>
    <row r="305" spans="1:11" ht="48" hidden="1">
      <c r="A305" s="92" t="s">
        <v>534</v>
      </c>
      <c r="B305" s="82" t="s">
        <v>1776</v>
      </c>
      <c r="C305" s="85" t="s">
        <v>1795</v>
      </c>
      <c r="D305" s="85" t="s">
        <v>1598</v>
      </c>
      <c r="E305" s="85" t="s">
        <v>535</v>
      </c>
      <c r="F305" s="85" t="s">
        <v>1071</v>
      </c>
      <c r="G305" s="90">
        <f>G306</f>
        <v>0</v>
      </c>
      <c r="H305" s="90">
        <f>H306</f>
        <v>0</v>
      </c>
      <c r="I305" s="422">
        <f>I306</f>
        <v>0</v>
      </c>
      <c r="J305" s="203" t="e">
        <f t="shared" si="24"/>
        <v>#DIV/0!</v>
      </c>
      <c r="K305" s="433"/>
    </row>
    <row r="306" spans="1:11" ht="15.75" hidden="1">
      <c r="A306" s="92" t="s">
        <v>461</v>
      </c>
      <c r="B306" s="82" t="s">
        <v>1776</v>
      </c>
      <c r="C306" s="85" t="s">
        <v>1795</v>
      </c>
      <c r="D306" s="85" t="s">
        <v>1598</v>
      </c>
      <c r="E306" s="85" t="s">
        <v>535</v>
      </c>
      <c r="F306" s="85" t="s">
        <v>1880</v>
      </c>
      <c r="G306" s="90">
        <f>2817+328-3145</f>
        <v>0</v>
      </c>
      <c r="H306" s="90">
        <f>2817+328-3145</f>
        <v>0</v>
      </c>
      <c r="I306" s="422">
        <f>2817+328-3145</f>
        <v>0</v>
      </c>
      <c r="J306" s="203" t="e">
        <f t="shared" si="24"/>
        <v>#DIV/0!</v>
      </c>
      <c r="K306" s="433"/>
    </row>
    <row r="307" spans="1:11" ht="24">
      <c r="A307" s="87" t="s">
        <v>848</v>
      </c>
      <c r="B307" s="82" t="s">
        <v>1776</v>
      </c>
      <c r="C307" s="85" t="s">
        <v>1795</v>
      </c>
      <c r="D307" s="85" t="s">
        <v>1598</v>
      </c>
      <c r="E307" s="85" t="s">
        <v>849</v>
      </c>
      <c r="F307" s="85"/>
      <c r="G307" s="90">
        <f aca="true" t="shared" si="26" ref="G307:I308">G308</f>
        <v>1222</v>
      </c>
      <c r="H307" s="90">
        <f t="shared" si="26"/>
        <v>0</v>
      </c>
      <c r="I307" s="422">
        <f t="shared" si="26"/>
        <v>0</v>
      </c>
      <c r="J307" s="203">
        <f t="shared" si="24"/>
        <v>0</v>
      </c>
      <c r="K307" s="433"/>
    </row>
    <row r="308" spans="1:11" ht="108">
      <c r="A308" s="87" t="s">
        <v>1462</v>
      </c>
      <c r="B308" s="82" t="s">
        <v>1776</v>
      </c>
      <c r="C308" s="85" t="s">
        <v>1795</v>
      </c>
      <c r="D308" s="85" t="s">
        <v>1598</v>
      </c>
      <c r="E308" s="85" t="s">
        <v>253</v>
      </c>
      <c r="F308" s="85" t="s">
        <v>1071</v>
      </c>
      <c r="G308" s="90">
        <f t="shared" si="26"/>
        <v>1222</v>
      </c>
      <c r="H308" s="90">
        <f t="shared" si="26"/>
        <v>0</v>
      </c>
      <c r="I308" s="422">
        <f t="shared" si="26"/>
        <v>0</v>
      </c>
      <c r="J308" s="203">
        <f t="shared" si="24"/>
        <v>0</v>
      </c>
      <c r="K308" s="433"/>
    </row>
    <row r="309" spans="1:11" ht="24">
      <c r="A309" s="87" t="s">
        <v>461</v>
      </c>
      <c r="B309" s="82" t="s">
        <v>1776</v>
      </c>
      <c r="C309" s="85" t="s">
        <v>1795</v>
      </c>
      <c r="D309" s="85" t="s">
        <v>1598</v>
      </c>
      <c r="E309" s="85" t="s">
        <v>253</v>
      </c>
      <c r="F309" s="85" t="s">
        <v>1880</v>
      </c>
      <c r="G309" s="90">
        <v>1222</v>
      </c>
      <c r="H309" s="90">
        <v>0</v>
      </c>
      <c r="I309" s="422"/>
      <c r="J309" s="203">
        <f t="shared" si="24"/>
        <v>0</v>
      </c>
      <c r="K309" s="433"/>
    </row>
    <row r="310" spans="1:11" ht="24">
      <c r="A310" s="86" t="s">
        <v>909</v>
      </c>
      <c r="B310" s="82" t="s">
        <v>1776</v>
      </c>
      <c r="C310" s="85" t="s">
        <v>1795</v>
      </c>
      <c r="D310" s="85" t="s">
        <v>1598</v>
      </c>
      <c r="E310" s="85" t="s">
        <v>910</v>
      </c>
      <c r="F310" s="85" t="s">
        <v>1071</v>
      </c>
      <c r="G310" s="90">
        <f aca="true" t="shared" si="27" ref="G310:I311">G311</f>
        <v>0</v>
      </c>
      <c r="H310" s="90">
        <f t="shared" si="27"/>
        <v>3000</v>
      </c>
      <c r="I310" s="422">
        <f t="shared" si="27"/>
        <v>2729</v>
      </c>
      <c r="J310" s="203"/>
      <c r="K310" s="433">
        <f t="shared" si="23"/>
        <v>90.96666666666667</v>
      </c>
    </row>
    <row r="311" spans="1:11" ht="24">
      <c r="A311" s="87" t="s">
        <v>1697</v>
      </c>
      <c r="B311" s="82" t="s">
        <v>1776</v>
      </c>
      <c r="C311" s="85" t="s">
        <v>1795</v>
      </c>
      <c r="D311" s="85" t="s">
        <v>1598</v>
      </c>
      <c r="E311" s="85" t="s">
        <v>1700</v>
      </c>
      <c r="F311" s="85" t="s">
        <v>1071</v>
      </c>
      <c r="G311" s="90">
        <f t="shared" si="27"/>
        <v>0</v>
      </c>
      <c r="H311" s="90">
        <f t="shared" si="27"/>
        <v>3000</v>
      </c>
      <c r="I311" s="422">
        <f t="shared" si="27"/>
        <v>2729</v>
      </c>
      <c r="J311" s="203"/>
      <c r="K311" s="433">
        <f t="shared" si="23"/>
        <v>90.96666666666667</v>
      </c>
    </row>
    <row r="312" spans="1:11" ht="24">
      <c r="A312" s="92" t="s">
        <v>1464</v>
      </c>
      <c r="B312" s="82" t="s">
        <v>1776</v>
      </c>
      <c r="C312" s="85" t="s">
        <v>1795</v>
      </c>
      <c r="D312" s="85" t="s">
        <v>1598</v>
      </c>
      <c r="E312" s="85" t="s">
        <v>1700</v>
      </c>
      <c r="F312" s="85" t="s">
        <v>1719</v>
      </c>
      <c r="G312" s="90"/>
      <c r="H312" s="90">
        <v>3000</v>
      </c>
      <c r="I312" s="422">
        <v>2729</v>
      </c>
      <c r="J312" s="203"/>
      <c r="K312" s="433">
        <f t="shared" si="23"/>
        <v>90.96666666666667</v>
      </c>
    </row>
    <row r="313" spans="1:11" ht="15">
      <c r="A313" s="106" t="s">
        <v>360</v>
      </c>
      <c r="B313" s="82" t="s">
        <v>1776</v>
      </c>
      <c r="C313" s="85" t="s">
        <v>1795</v>
      </c>
      <c r="D313" s="85" t="s">
        <v>1603</v>
      </c>
      <c r="E313" s="85"/>
      <c r="F313" s="85"/>
      <c r="G313" s="90">
        <f>G314</f>
        <v>19928</v>
      </c>
      <c r="H313" s="90">
        <f>H314</f>
        <v>20320.3</v>
      </c>
      <c r="I313" s="422">
        <f>I314</f>
        <v>19552.100000000002</v>
      </c>
      <c r="J313" s="203">
        <f t="shared" si="24"/>
        <v>98.11370935367324</v>
      </c>
      <c r="K313" s="433">
        <f t="shared" si="23"/>
        <v>96.21954400279525</v>
      </c>
    </row>
    <row r="314" spans="1:11" ht="24">
      <c r="A314" s="93" t="s">
        <v>848</v>
      </c>
      <c r="B314" s="82" t="s">
        <v>1776</v>
      </c>
      <c r="C314" s="85" t="s">
        <v>1795</v>
      </c>
      <c r="D314" s="85" t="s">
        <v>1603</v>
      </c>
      <c r="E314" s="85" t="s">
        <v>849</v>
      </c>
      <c r="F314" s="85"/>
      <c r="G314" s="90">
        <f>G315+G317+G319</f>
        <v>19928</v>
      </c>
      <c r="H314" s="90">
        <f>H317+H319</f>
        <v>20320.3</v>
      </c>
      <c r="I314" s="422">
        <f>I317+I319</f>
        <v>19552.100000000002</v>
      </c>
      <c r="J314" s="203">
        <f t="shared" si="24"/>
        <v>98.11370935367324</v>
      </c>
      <c r="K314" s="433">
        <f t="shared" si="23"/>
        <v>96.21954400279525</v>
      </c>
    </row>
    <row r="315" spans="1:11" ht="60">
      <c r="A315" s="92" t="s">
        <v>1345</v>
      </c>
      <c r="B315" s="82" t="s">
        <v>1776</v>
      </c>
      <c r="C315" s="85" t="s">
        <v>1795</v>
      </c>
      <c r="D315" s="85" t="s">
        <v>1603</v>
      </c>
      <c r="E315" s="85" t="s">
        <v>550</v>
      </c>
      <c r="F315" s="85" t="s">
        <v>1071</v>
      </c>
      <c r="G315" s="90">
        <f>G316</f>
        <v>19928</v>
      </c>
      <c r="H315" s="90">
        <f>H316</f>
        <v>0</v>
      </c>
      <c r="I315" s="422">
        <f>I316</f>
        <v>0</v>
      </c>
      <c r="J315" s="203">
        <f t="shared" si="24"/>
        <v>0</v>
      </c>
      <c r="K315" s="433"/>
    </row>
    <row r="316" spans="1:11" ht="24">
      <c r="A316" s="87" t="s">
        <v>461</v>
      </c>
      <c r="B316" s="82" t="s">
        <v>1776</v>
      </c>
      <c r="C316" s="85" t="s">
        <v>1795</v>
      </c>
      <c r="D316" s="85" t="s">
        <v>1603</v>
      </c>
      <c r="E316" s="85" t="s">
        <v>550</v>
      </c>
      <c r="F316" s="85" t="s">
        <v>1880</v>
      </c>
      <c r="G316" s="90">
        <v>19928</v>
      </c>
      <c r="H316" s="90"/>
      <c r="I316" s="422"/>
      <c r="J316" s="203">
        <f t="shared" si="24"/>
        <v>0</v>
      </c>
      <c r="K316" s="433"/>
    </row>
    <row r="317" spans="1:11" ht="60">
      <c r="A317" s="92" t="s">
        <v>1345</v>
      </c>
      <c r="B317" s="82" t="s">
        <v>1776</v>
      </c>
      <c r="C317" s="85" t="s">
        <v>1795</v>
      </c>
      <c r="D317" s="85" t="s">
        <v>1603</v>
      </c>
      <c r="E317" s="85" t="s">
        <v>1475</v>
      </c>
      <c r="F317" s="85" t="s">
        <v>1071</v>
      </c>
      <c r="G317" s="90">
        <f>G318</f>
        <v>0</v>
      </c>
      <c r="H317" s="90">
        <f>H318</f>
        <v>20110.1</v>
      </c>
      <c r="I317" s="422">
        <f>I318</f>
        <v>19359.4</v>
      </c>
      <c r="J317" s="203"/>
      <c r="K317" s="433">
        <f t="shared" si="23"/>
        <v>96.26704989035362</v>
      </c>
    </row>
    <row r="318" spans="1:11" ht="24">
      <c r="A318" s="92" t="s">
        <v>1715</v>
      </c>
      <c r="B318" s="82" t="s">
        <v>1776</v>
      </c>
      <c r="C318" s="85" t="s">
        <v>1795</v>
      </c>
      <c r="D318" s="85" t="s">
        <v>1603</v>
      </c>
      <c r="E318" s="85" t="s">
        <v>1475</v>
      </c>
      <c r="F318" s="85" t="s">
        <v>869</v>
      </c>
      <c r="G318" s="90"/>
      <c r="H318" s="90">
        <v>20110.1</v>
      </c>
      <c r="I318" s="422">
        <v>19359.4</v>
      </c>
      <c r="J318" s="203"/>
      <c r="K318" s="433">
        <f t="shared" si="23"/>
        <v>96.26704989035362</v>
      </c>
    </row>
    <row r="319" spans="1:11" ht="60">
      <c r="A319" s="92" t="s">
        <v>668</v>
      </c>
      <c r="B319" s="82" t="s">
        <v>1776</v>
      </c>
      <c r="C319" s="85" t="s">
        <v>1795</v>
      </c>
      <c r="D319" s="85" t="s">
        <v>1603</v>
      </c>
      <c r="E319" s="85" t="s">
        <v>669</v>
      </c>
      <c r="F319" s="85" t="s">
        <v>1071</v>
      </c>
      <c r="G319" s="90">
        <f>G320</f>
        <v>0</v>
      </c>
      <c r="H319" s="90">
        <f>H320</f>
        <v>210.2</v>
      </c>
      <c r="I319" s="422">
        <f>I320</f>
        <v>192.7</v>
      </c>
      <c r="J319" s="203"/>
      <c r="K319" s="433">
        <f t="shared" si="23"/>
        <v>91.67459562321598</v>
      </c>
    </row>
    <row r="320" spans="1:11" ht="24">
      <c r="A320" s="92" t="s">
        <v>1715</v>
      </c>
      <c r="B320" s="82" t="s">
        <v>1776</v>
      </c>
      <c r="C320" s="85" t="s">
        <v>1795</v>
      </c>
      <c r="D320" s="85" t="s">
        <v>1603</v>
      </c>
      <c r="E320" s="85" t="s">
        <v>669</v>
      </c>
      <c r="F320" s="85" t="s">
        <v>869</v>
      </c>
      <c r="G320" s="90"/>
      <c r="H320" s="90">
        <f>360.2-150</f>
        <v>210.2</v>
      </c>
      <c r="I320" s="422">
        <v>192.7</v>
      </c>
      <c r="J320" s="203"/>
      <c r="K320" s="433">
        <f t="shared" si="23"/>
        <v>91.67459562321598</v>
      </c>
    </row>
    <row r="321" spans="1:11" ht="15.75">
      <c r="A321" s="98" t="s">
        <v>1549</v>
      </c>
      <c r="B321" s="80" t="s">
        <v>1550</v>
      </c>
      <c r="C321" s="99"/>
      <c r="D321" s="99"/>
      <c r="E321" s="99"/>
      <c r="F321" s="99"/>
      <c r="G321" s="274">
        <f>G322+G326+G330+G490</f>
        <v>539834.6</v>
      </c>
      <c r="H321" s="274">
        <f>H322+H326+H330+H490</f>
        <v>665349.8</v>
      </c>
      <c r="I321" s="427">
        <f>I322+I326+I330+I490</f>
        <v>561452.2999999999</v>
      </c>
      <c r="J321" s="419">
        <f>I321/G321*100</f>
        <v>104.00450434262642</v>
      </c>
      <c r="K321" s="434">
        <f>I321/H321*100</f>
        <v>84.38452976163815</v>
      </c>
    </row>
    <row r="322" spans="1:11" ht="25.5" hidden="1">
      <c r="A322" s="114" t="s">
        <v>1770</v>
      </c>
      <c r="B322" s="82" t="s">
        <v>1550</v>
      </c>
      <c r="C322" s="83" t="s">
        <v>1598</v>
      </c>
      <c r="D322" s="83"/>
      <c r="E322" s="83"/>
      <c r="F322" s="83"/>
      <c r="G322" s="84">
        <f aca="true" t="shared" si="28" ref="G322:I324">G323</f>
        <v>0</v>
      </c>
      <c r="H322" s="84">
        <f t="shared" si="28"/>
        <v>0</v>
      </c>
      <c r="I322" s="426">
        <f t="shared" si="28"/>
        <v>0</v>
      </c>
      <c r="J322" s="203"/>
      <c r="K322" s="433"/>
    </row>
    <row r="323" spans="1:11" ht="24" hidden="1">
      <c r="A323" s="91" t="s">
        <v>597</v>
      </c>
      <c r="B323" s="82" t="s">
        <v>1550</v>
      </c>
      <c r="C323" s="85" t="s">
        <v>1598</v>
      </c>
      <c r="D323" s="85" t="s">
        <v>1764</v>
      </c>
      <c r="E323" s="85"/>
      <c r="F323" s="85"/>
      <c r="G323" s="84">
        <f t="shared" si="28"/>
        <v>0</v>
      </c>
      <c r="H323" s="84">
        <f t="shared" si="28"/>
        <v>0</v>
      </c>
      <c r="I323" s="426">
        <f t="shared" si="28"/>
        <v>0</v>
      </c>
      <c r="J323" s="203"/>
      <c r="K323" s="433"/>
    </row>
    <row r="324" spans="1:11" ht="24" hidden="1">
      <c r="A324" s="86" t="s">
        <v>1346</v>
      </c>
      <c r="B324" s="82" t="s">
        <v>1550</v>
      </c>
      <c r="C324" s="85" t="s">
        <v>1598</v>
      </c>
      <c r="D324" s="85" t="s">
        <v>1764</v>
      </c>
      <c r="E324" s="85" t="s">
        <v>907</v>
      </c>
      <c r="F324" s="85"/>
      <c r="G324" s="84">
        <f t="shared" si="28"/>
        <v>0</v>
      </c>
      <c r="H324" s="84">
        <f t="shared" si="28"/>
        <v>0</v>
      </c>
      <c r="I324" s="426">
        <f t="shared" si="28"/>
        <v>0</v>
      </c>
      <c r="J324" s="203"/>
      <c r="K324" s="433"/>
    </row>
    <row r="325" spans="1:11" ht="15.75" hidden="1">
      <c r="A325" s="87" t="s">
        <v>1347</v>
      </c>
      <c r="B325" s="82" t="s">
        <v>1550</v>
      </c>
      <c r="C325" s="85" t="s">
        <v>1598</v>
      </c>
      <c r="D325" s="85" t="s">
        <v>1764</v>
      </c>
      <c r="E325" s="85" t="s">
        <v>907</v>
      </c>
      <c r="F325" s="85" t="s">
        <v>436</v>
      </c>
      <c r="G325" s="84"/>
      <c r="H325" s="84"/>
      <c r="I325" s="426"/>
      <c r="J325" s="203"/>
      <c r="K325" s="433"/>
    </row>
    <row r="326" spans="1:11" ht="15.75" hidden="1">
      <c r="A326" s="88" t="s">
        <v>1392</v>
      </c>
      <c r="B326" s="82" t="s">
        <v>1550</v>
      </c>
      <c r="C326" s="85" t="s">
        <v>584</v>
      </c>
      <c r="D326" s="100"/>
      <c r="E326" s="100"/>
      <c r="F326" s="100"/>
      <c r="G326" s="101">
        <f aca="true" t="shared" si="29" ref="G326:I328">G327</f>
        <v>0</v>
      </c>
      <c r="H326" s="101">
        <f t="shared" si="29"/>
        <v>0</v>
      </c>
      <c r="I326" s="428">
        <f t="shared" si="29"/>
        <v>0</v>
      </c>
      <c r="J326" s="203"/>
      <c r="K326" s="433"/>
    </row>
    <row r="327" spans="1:11" ht="15.75" hidden="1">
      <c r="A327" s="91" t="s">
        <v>1306</v>
      </c>
      <c r="B327" s="82" t="s">
        <v>1550</v>
      </c>
      <c r="C327" s="85" t="s">
        <v>584</v>
      </c>
      <c r="D327" s="85" t="s">
        <v>584</v>
      </c>
      <c r="E327" s="85"/>
      <c r="F327" s="85"/>
      <c r="G327" s="90">
        <f t="shared" si="29"/>
        <v>0</v>
      </c>
      <c r="H327" s="90">
        <f t="shared" si="29"/>
        <v>0</v>
      </c>
      <c r="I327" s="422">
        <f t="shared" si="29"/>
        <v>0</v>
      </c>
      <c r="J327" s="203"/>
      <c r="K327" s="433"/>
    </row>
    <row r="328" spans="1:11" ht="24" hidden="1">
      <c r="A328" s="93" t="s">
        <v>1084</v>
      </c>
      <c r="B328" s="82" t="s">
        <v>1550</v>
      </c>
      <c r="C328" s="85" t="s">
        <v>584</v>
      </c>
      <c r="D328" s="85" t="s">
        <v>584</v>
      </c>
      <c r="E328" s="85" t="s">
        <v>1358</v>
      </c>
      <c r="F328" s="85"/>
      <c r="G328" s="90">
        <f t="shared" si="29"/>
        <v>0</v>
      </c>
      <c r="H328" s="90">
        <f t="shared" si="29"/>
        <v>0</v>
      </c>
      <c r="I328" s="422">
        <f t="shared" si="29"/>
        <v>0</v>
      </c>
      <c r="J328" s="203"/>
      <c r="K328" s="433"/>
    </row>
    <row r="329" spans="1:11" ht="15.75" hidden="1">
      <c r="A329" s="87" t="s">
        <v>1085</v>
      </c>
      <c r="B329" s="82" t="s">
        <v>1550</v>
      </c>
      <c r="C329" s="85" t="s">
        <v>584</v>
      </c>
      <c r="D329" s="85" t="s">
        <v>584</v>
      </c>
      <c r="E329" s="85" t="s">
        <v>1358</v>
      </c>
      <c r="F329" s="85" t="s">
        <v>1878</v>
      </c>
      <c r="G329" s="90"/>
      <c r="H329" s="90"/>
      <c r="I329" s="422"/>
      <c r="J329" s="203"/>
      <c r="K329" s="433"/>
    </row>
    <row r="330" spans="1:11" ht="15">
      <c r="A330" s="88" t="s">
        <v>1086</v>
      </c>
      <c r="B330" s="82" t="s">
        <v>1550</v>
      </c>
      <c r="C330" s="102" t="s">
        <v>1788</v>
      </c>
      <c r="D330" s="103"/>
      <c r="E330" s="104"/>
      <c r="F330" s="103"/>
      <c r="G330" s="105">
        <f>G331+G369+G415+G427+G457+G472</f>
        <v>539834.6</v>
      </c>
      <c r="H330" s="105">
        <f>H331+H369+H415+H427+H457+H472</f>
        <v>665349.8</v>
      </c>
      <c r="I330" s="429">
        <f>I331+I369+I415+I427+I457+I472</f>
        <v>561452.2999999999</v>
      </c>
      <c r="J330" s="203">
        <f aca="true" t="shared" si="30" ref="J330:J391">I330/G330*100</f>
        <v>104.00450434262642</v>
      </c>
      <c r="K330" s="433">
        <f aca="true" t="shared" si="31" ref="K330:K393">I330/H330*100</f>
        <v>84.38452976163815</v>
      </c>
    </row>
    <row r="331" spans="1:11" ht="15">
      <c r="A331" s="91" t="s">
        <v>967</v>
      </c>
      <c r="B331" s="82" t="s">
        <v>1550</v>
      </c>
      <c r="C331" s="85" t="s">
        <v>1788</v>
      </c>
      <c r="D331" s="85" t="s">
        <v>141</v>
      </c>
      <c r="E331" s="89"/>
      <c r="F331" s="85"/>
      <c r="G331" s="90">
        <f>G332+G337+G357+G359</f>
        <v>211678.2</v>
      </c>
      <c r="H331" s="90">
        <f>H332+H337+H357+H359</f>
        <v>252552.90000000002</v>
      </c>
      <c r="I331" s="422">
        <f>I332+I337+I357+I359</f>
        <v>194803.2</v>
      </c>
      <c r="J331" s="203">
        <f t="shared" si="30"/>
        <v>92.02799343531832</v>
      </c>
      <c r="K331" s="433">
        <f t="shared" si="31"/>
        <v>77.13362230249584</v>
      </c>
    </row>
    <row r="332" spans="1:11" ht="24.75" hidden="1">
      <c r="A332" s="107" t="s">
        <v>1393</v>
      </c>
      <c r="B332" s="82" t="s">
        <v>1550</v>
      </c>
      <c r="C332" s="85" t="s">
        <v>1788</v>
      </c>
      <c r="D332" s="85" t="s">
        <v>141</v>
      </c>
      <c r="E332" s="85" t="s">
        <v>1087</v>
      </c>
      <c r="F332" s="85"/>
      <c r="G332" s="90">
        <f aca="true" t="shared" si="32" ref="G332:I333">G333</f>
        <v>0</v>
      </c>
      <c r="H332" s="90">
        <f t="shared" si="32"/>
        <v>0</v>
      </c>
      <c r="I332" s="422">
        <f t="shared" si="32"/>
        <v>0</v>
      </c>
      <c r="J332" s="203" t="e">
        <f t="shared" si="30"/>
        <v>#DIV/0!</v>
      </c>
      <c r="K332" s="433" t="e">
        <f t="shared" si="31"/>
        <v>#DIV/0!</v>
      </c>
    </row>
    <row r="333" spans="1:11" ht="24.75" hidden="1">
      <c r="A333" s="108" t="s">
        <v>47</v>
      </c>
      <c r="B333" s="82" t="s">
        <v>1550</v>
      </c>
      <c r="C333" s="85" t="s">
        <v>1788</v>
      </c>
      <c r="D333" s="85" t="s">
        <v>141</v>
      </c>
      <c r="E333" s="85" t="s">
        <v>1088</v>
      </c>
      <c r="F333" s="85" t="s">
        <v>1071</v>
      </c>
      <c r="G333" s="90">
        <f t="shared" si="32"/>
        <v>0</v>
      </c>
      <c r="H333" s="90">
        <f t="shared" si="32"/>
        <v>0</v>
      </c>
      <c r="I333" s="422">
        <f t="shared" si="32"/>
        <v>0</v>
      </c>
      <c r="J333" s="203" t="e">
        <f t="shared" si="30"/>
        <v>#DIV/0!</v>
      </c>
      <c r="K333" s="433" t="e">
        <f t="shared" si="31"/>
        <v>#DIV/0!</v>
      </c>
    </row>
    <row r="334" spans="1:11" ht="15.75" hidden="1">
      <c r="A334" s="108" t="s">
        <v>1089</v>
      </c>
      <c r="B334" s="82" t="s">
        <v>1550</v>
      </c>
      <c r="C334" s="85" t="s">
        <v>1788</v>
      </c>
      <c r="D334" s="85" t="s">
        <v>141</v>
      </c>
      <c r="E334" s="85" t="s">
        <v>1088</v>
      </c>
      <c r="F334" s="85" t="s">
        <v>1879</v>
      </c>
      <c r="G334" s="90"/>
      <c r="H334" s="90"/>
      <c r="I334" s="422"/>
      <c r="J334" s="203" t="e">
        <f t="shared" si="30"/>
        <v>#DIV/0!</v>
      </c>
      <c r="K334" s="433" t="e">
        <f t="shared" si="31"/>
        <v>#DIV/0!</v>
      </c>
    </row>
    <row r="335" spans="1:11" ht="15.75" hidden="1">
      <c r="A335" s="108" t="s">
        <v>1090</v>
      </c>
      <c r="B335" s="82" t="s">
        <v>1550</v>
      </c>
      <c r="C335" s="85" t="s">
        <v>1788</v>
      </c>
      <c r="D335" s="85" t="s">
        <v>141</v>
      </c>
      <c r="E335" s="85" t="s">
        <v>1088</v>
      </c>
      <c r="F335" s="85" t="s">
        <v>1879</v>
      </c>
      <c r="G335" s="90"/>
      <c r="H335" s="90"/>
      <c r="I335" s="422"/>
      <c r="J335" s="203" t="e">
        <f t="shared" si="30"/>
        <v>#DIV/0!</v>
      </c>
      <c r="K335" s="433" t="e">
        <f t="shared" si="31"/>
        <v>#DIV/0!</v>
      </c>
    </row>
    <row r="336" spans="1:11" ht="24.75" hidden="1">
      <c r="A336" s="108" t="s">
        <v>50</v>
      </c>
      <c r="B336" s="82" t="s">
        <v>1550</v>
      </c>
      <c r="C336" s="85" t="s">
        <v>1788</v>
      </c>
      <c r="D336" s="85" t="s">
        <v>141</v>
      </c>
      <c r="E336" s="85" t="s">
        <v>1088</v>
      </c>
      <c r="F336" s="85" t="s">
        <v>1879</v>
      </c>
      <c r="G336" s="90"/>
      <c r="H336" s="90"/>
      <c r="I336" s="422"/>
      <c r="J336" s="203" t="e">
        <f t="shared" si="30"/>
        <v>#DIV/0!</v>
      </c>
      <c r="K336" s="433" t="e">
        <f t="shared" si="31"/>
        <v>#DIV/0!</v>
      </c>
    </row>
    <row r="337" spans="1:11" ht="24">
      <c r="A337" s="93" t="s">
        <v>55</v>
      </c>
      <c r="B337" s="82" t="s">
        <v>1550</v>
      </c>
      <c r="C337" s="85" t="s">
        <v>1788</v>
      </c>
      <c r="D337" s="85" t="s">
        <v>141</v>
      </c>
      <c r="E337" s="85" t="s">
        <v>56</v>
      </c>
      <c r="F337" s="85"/>
      <c r="G337" s="90">
        <f>G338+G340+G342+G344+G346</f>
        <v>187918.2</v>
      </c>
      <c r="H337" s="90">
        <f>H338+H340+H342+H344+H346</f>
        <v>146351.2</v>
      </c>
      <c r="I337" s="422">
        <f>I338+I340+I342+I344+I346</f>
        <v>102926.9</v>
      </c>
      <c r="J337" s="203">
        <f t="shared" si="30"/>
        <v>54.77218279017146</v>
      </c>
      <c r="K337" s="433">
        <f t="shared" si="31"/>
        <v>70.32870246366274</v>
      </c>
    </row>
    <row r="338" spans="1:11" ht="36">
      <c r="A338" s="92" t="s">
        <v>1692</v>
      </c>
      <c r="B338" s="82" t="s">
        <v>1550</v>
      </c>
      <c r="C338" s="85" t="s">
        <v>1788</v>
      </c>
      <c r="D338" s="85" t="s">
        <v>141</v>
      </c>
      <c r="E338" s="85" t="s">
        <v>1693</v>
      </c>
      <c r="F338" s="85" t="s">
        <v>1071</v>
      </c>
      <c r="G338" s="90">
        <f>G339</f>
        <v>0</v>
      </c>
      <c r="H338" s="90">
        <f>H339</f>
        <v>54335</v>
      </c>
      <c r="I338" s="422">
        <f>I339</f>
        <v>44821.8</v>
      </c>
      <c r="J338" s="203"/>
      <c r="K338" s="433">
        <f t="shared" si="31"/>
        <v>82.49158001288305</v>
      </c>
    </row>
    <row r="339" spans="1:11" ht="24">
      <c r="A339" s="87" t="s">
        <v>819</v>
      </c>
      <c r="B339" s="82" t="s">
        <v>1550</v>
      </c>
      <c r="C339" s="85" t="s">
        <v>1788</v>
      </c>
      <c r="D339" s="85" t="s">
        <v>141</v>
      </c>
      <c r="E339" s="85" t="s">
        <v>1693</v>
      </c>
      <c r="F339" s="85" t="s">
        <v>744</v>
      </c>
      <c r="G339" s="90"/>
      <c r="H339" s="90">
        <v>54335</v>
      </c>
      <c r="I339" s="422">
        <v>44821.8</v>
      </c>
      <c r="J339" s="203"/>
      <c r="K339" s="433">
        <f t="shared" si="31"/>
        <v>82.49158001288305</v>
      </c>
    </row>
    <row r="340" spans="1:11" ht="60">
      <c r="A340" s="87" t="s">
        <v>369</v>
      </c>
      <c r="B340" s="82" t="s">
        <v>1550</v>
      </c>
      <c r="C340" s="85" t="s">
        <v>1788</v>
      </c>
      <c r="D340" s="85" t="s">
        <v>141</v>
      </c>
      <c r="E340" s="85" t="s">
        <v>370</v>
      </c>
      <c r="F340" s="85" t="s">
        <v>1071</v>
      </c>
      <c r="G340" s="90">
        <f>G341</f>
        <v>0</v>
      </c>
      <c r="H340" s="90">
        <f>H341</f>
        <v>826.5</v>
      </c>
      <c r="I340" s="422">
        <f>I341</f>
        <v>56.1</v>
      </c>
      <c r="J340" s="203"/>
      <c r="K340" s="433">
        <f t="shared" si="31"/>
        <v>6.787658802177858</v>
      </c>
    </row>
    <row r="341" spans="1:11" ht="24">
      <c r="A341" s="87" t="s">
        <v>819</v>
      </c>
      <c r="B341" s="82" t="s">
        <v>1550</v>
      </c>
      <c r="C341" s="85" t="s">
        <v>1788</v>
      </c>
      <c r="D341" s="85" t="s">
        <v>141</v>
      </c>
      <c r="E341" s="85" t="s">
        <v>370</v>
      </c>
      <c r="F341" s="85" t="s">
        <v>744</v>
      </c>
      <c r="G341" s="90"/>
      <c r="H341" s="90">
        <v>826.5</v>
      </c>
      <c r="I341" s="422">
        <v>56.1</v>
      </c>
      <c r="J341" s="203"/>
      <c r="K341" s="433">
        <f t="shared" si="31"/>
        <v>6.787658802177858</v>
      </c>
    </row>
    <row r="342" spans="1:11" ht="36">
      <c r="A342" s="92" t="s">
        <v>371</v>
      </c>
      <c r="B342" s="82" t="s">
        <v>1550</v>
      </c>
      <c r="C342" s="85" t="s">
        <v>1788</v>
      </c>
      <c r="D342" s="85" t="s">
        <v>141</v>
      </c>
      <c r="E342" s="85" t="s">
        <v>372</v>
      </c>
      <c r="F342" s="85" t="s">
        <v>1071</v>
      </c>
      <c r="G342" s="90">
        <f>G343</f>
        <v>0</v>
      </c>
      <c r="H342" s="90">
        <f>H343</f>
        <v>76242.2</v>
      </c>
      <c r="I342" s="422">
        <f>I343</f>
        <v>43918.1</v>
      </c>
      <c r="J342" s="203"/>
      <c r="K342" s="433">
        <f t="shared" si="31"/>
        <v>57.60340074132173</v>
      </c>
    </row>
    <row r="343" spans="1:11" ht="24">
      <c r="A343" s="87" t="s">
        <v>819</v>
      </c>
      <c r="B343" s="82" t="s">
        <v>1550</v>
      </c>
      <c r="C343" s="85" t="s">
        <v>1788</v>
      </c>
      <c r="D343" s="85" t="s">
        <v>141</v>
      </c>
      <c r="E343" s="85" t="s">
        <v>372</v>
      </c>
      <c r="F343" s="85" t="s">
        <v>744</v>
      </c>
      <c r="G343" s="90"/>
      <c r="H343" s="90">
        <v>76242.2</v>
      </c>
      <c r="I343" s="422">
        <v>43918.1</v>
      </c>
      <c r="J343" s="203"/>
      <c r="K343" s="433">
        <f t="shared" si="31"/>
        <v>57.60340074132173</v>
      </c>
    </row>
    <row r="344" spans="1:11" ht="36">
      <c r="A344" s="87" t="s">
        <v>373</v>
      </c>
      <c r="B344" s="82" t="s">
        <v>1550</v>
      </c>
      <c r="C344" s="85" t="s">
        <v>1788</v>
      </c>
      <c r="D344" s="85" t="s">
        <v>141</v>
      </c>
      <c r="E344" s="85" t="s">
        <v>374</v>
      </c>
      <c r="F344" s="85" t="s">
        <v>1071</v>
      </c>
      <c r="G344" s="90">
        <f>G345</f>
        <v>0</v>
      </c>
      <c r="H344" s="90">
        <f>H345</f>
        <v>2787.8</v>
      </c>
      <c r="I344" s="422">
        <f>I345</f>
        <v>2136.2</v>
      </c>
      <c r="J344" s="203"/>
      <c r="K344" s="433">
        <f t="shared" si="31"/>
        <v>76.62673075543438</v>
      </c>
    </row>
    <row r="345" spans="1:11" ht="24">
      <c r="A345" s="87" t="s">
        <v>819</v>
      </c>
      <c r="B345" s="82" t="s">
        <v>1550</v>
      </c>
      <c r="C345" s="85" t="s">
        <v>1788</v>
      </c>
      <c r="D345" s="85" t="s">
        <v>141</v>
      </c>
      <c r="E345" s="85" t="s">
        <v>374</v>
      </c>
      <c r="F345" s="85" t="s">
        <v>744</v>
      </c>
      <c r="G345" s="90"/>
      <c r="H345" s="90">
        <v>2787.8</v>
      </c>
      <c r="I345" s="422">
        <v>2136.2</v>
      </c>
      <c r="J345" s="203"/>
      <c r="K345" s="433">
        <f t="shared" si="31"/>
        <v>76.62673075543438</v>
      </c>
    </row>
    <row r="346" spans="1:11" ht="24">
      <c r="A346" s="87" t="s">
        <v>661</v>
      </c>
      <c r="B346" s="82" t="s">
        <v>1550</v>
      </c>
      <c r="C346" s="85" t="s">
        <v>1788</v>
      </c>
      <c r="D346" s="85" t="s">
        <v>141</v>
      </c>
      <c r="E346" s="85" t="s">
        <v>58</v>
      </c>
      <c r="F346" s="85" t="s">
        <v>1071</v>
      </c>
      <c r="G346" s="90">
        <f>G347+G354</f>
        <v>187918.2</v>
      </c>
      <c r="H346" s="90">
        <f>H347+H354</f>
        <v>12159.7</v>
      </c>
      <c r="I346" s="422">
        <f>I347+I354</f>
        <v>11994.7</v>
      </c>
      <c r="J346" s="203">
        <f t="shared" si="30"/>
        <v>6.382936831025414</v>
      </c>
      <c r="K346" s="433">
        <f t="shared" si="31"/>
        <v>98.64305862809115</v>
      </c>
    </row>
    <row r="347" spans="1:11" ht="24">
      <c r="A347" s="87" t="s">
        <v>819</v>
      </c>
      <c r="B347" s="82" t="s">
        <v>1550</v>
      </c>
      <c r="C347" s="85" t="s">
        <v>1788</v>
      </c>
      <c r="D347" s="85" t="s">
        <v>141</v>
      </c>
      <c r="E347" s="85" t="s">
        <v>58</v>
      </c>
      <c r="F347" s="85" t="s">
        <v>744</v>
      </c>
      <c r="G347" s="90">
        <f>G348+G349</f>
        <v>187111.2</v>
      </c>
      <c r="H347" s="90">
        <f>H348+H349</f>
        <v>12159.7</v>
      </c>
      <c r="I347" s="422">
        <f>I348+I349</f>
        <v>11994.7</v>
      </c>
      <c r="J347" s="203">
        <f t="shared" si="30"/>
        <v>6.410466075788087</v>
      </c>
      <c r="K347" s="433">
        <f t="shared" si="31"/>
        <v>98.64305862809115</v>
      </c>
    </row>
    <row r="348" spans="1:11" ht="24">
      <c r="A348" s="87" t="s">
        <v>745</v>
      </c>
      <c r="B348" s="82" t="s">
        <v>1550</v>
      </c>
      <c r="C348" s="85" t="s">
        <v>1788</v>
      </c>
      <c r="D348" s="85" t="s">
        <v>141</v>
      </c>
      <c r="E348" s="85" t="s">
        <v>58</v>
      </c>
      <c r="F348" s="85" t="s">
        <v>746</v>
      </c>
      <c r="G348" s="90">
        <v>136497</v>
      </c>
      <c r="H348" s="90">
        <f>8899+314.4+800</f>
        <v>10013.4</v>
      </c>
      <c r="I348" s="422">
        <v>9919.5</v>
      </c>
      <c r="J348" s="203">
        <f t="shared" si="30"/>
        <v>7.267192685553529</v>
      </c>
      <c r="K348" s="433">
        <f t="shared" si="31"/>
        <v>99.0622565761879</v>
      </c>
    </row>
    <row r="349" spans="1:11" ht="24">
      <c r="A349" s="87" t="s">
        <v>375</v>
      </c>
      <c r="B349" s="82" t="s">
        <v>1550</v>
      </c>
      <c r="C349" s="85" t="s">
        <v>1788</v>
      </c>
      <c r="D349" s="85" t="s">
        <v>141</v>
      </c>
      <c r="E349" s="85" t="s">
        <v>58</v>
      </c>
      <c r="F349" s="85" t="s">
        <v>1637</v>
      </c>
      <c r="G349" s="90">
        <f>G351+G352</f>
        <v>50614.2</v>
      </c>
      <c r="H349" s="90">
        <f>H350+H353</f>
        <v>2146.3</v>
      </c>
      <c r="I349" s="422">
        <f>I350+I353</f>
        <v>2075.2</v>
      </c>
      <c r="J349" s="203">
        <f t="shared" si="30"/>
        <v>4.1000351679963325</v>
      </c>
      <c r="K349" s="433">
        <f t="shared" si="31"/>
        <v>96.68732236872756</v>
      </c>
    </row>
    <row r="350" spans="1:11" ht="72">
      <c r="A350" s="87" t="s">
        <v>1499</v>
      </c>
      <c r="B350" s="82" t="s">
        <v>1550</v>
      </c>
      <c r="C350" s="85" t="s">
        <v>1788</v>
      </c>
      <c r="D350" s="85" t="s">
        <v>141</v>
      </c>
      <c r="E350" s="85" t="s">
        <v>1348</v>
      </c>
      <c r="F350" s="85" t="s">
        <v>1637</v>
      </c>
      <c r="G350" s="90"/>
      <c r="H350" s="90">
        <v>1072</v>
      </c>
      <c r="I350" s="422">
        <v>1072</v>
      </c>
      <c r="J350" s="203"/>
      <c r="K350" s="433">
        <f t="shared" si="31"/>
        <v>100</v>
      </c>
    </row>
    <row r="351" spans="1:11" ht="60">
      <c r="A351" s="87" t="s">
        <v>1500</v>
      </c>
      <c r="B351" s="82" t="s">
        <v>1550</v>
      </c>
      <c r="C351" s="85" t="s">
        <v>1788</v>
      </c>
      <c r="D351" s="85" t="s">
        <v>141</v>
      </c>
      <c r="E351" s="85" t="s">
        <v>1348</v>
      </c>
      <c r="F351" s="85" t="s">
        <v>1637</v>
      </c>
      <c r="G351" s="90">
        <v>5697</v>
      </c>
      <c r="H351" s="90">
        <v>0</v>
      </c>
      <c r="I351" s="422">
        <v>0</v>
      </c>
      <c r="J351" s="203">
        <f t="shared" si="30"/>
        <v>0</v>
      </c>
      <c r="K351" s="433"/>
    </row>
    <row r="352" spans="1:11" ht="24">
      <c r="A352" s="87" t="s">
        <v>1349</v>
      </c>
      <c r="B352" s="82" t="s">
        <v>1550</v>
      </c>
      <c r="C352" s="85" t="s">
        <v>1788</v>
      </c>
      <c r="D352" s="85" t="s">
        <v>141</v>
      </c>
      <c r="E352" s="85" t="s">
        <v>1350</v>
      </c>
      <c r="F352" s="85" t="s">
        <v>1637</v>
      </c>
      <c r="G352" s="90">
        <v>44917.2</v>
      </c>
      <c r="H352" s="90">
        <v>0</v>
      </c>
      <c r="I352" s="422">
        <v>0</v>
      </c>
      <c r="J352" s="203">
        <f t="shared" si="30"/>
        <v>0</v>
      </c>
      <c r="K352" s="433"/>
    </row>
    <row r="353" spans="1:11" ht="24">
      <c r="A353" s="87" t="s">
        <v>1666</v>
      </c>
      <c r="B353" s="82" t="s">
        <v>1550</v>
      </c>
      <c r="C353" s="85" t="s">
        <v>1788</v>
      </c>
      <c r="D353" s="85" t="s">
        <v>141</v>
      </c>
      <c r="E353" s="85" t="s">
        <v>378</v>
      </c>
      <c r="F353" s="85" t="s">
        <v>1637</v>
      </c>
      <c r="G353" s="90"/>
      <c r="H353" s="90">
        <v>1074.3</v>
      </c>
      <c r="I353" s="422">
        <v>1003.2</v>
      </c>
      <c r="J353" s="203"/>
      <c r="K353" s="433">
        <f t="shared" si="31"/>
        <v>93.38173694498744</v>
      </c>
    </row>
    <row r="354" spans="1:11" ht="19.5" customHeight="1">
      <c r="A354" s="87" t="s">
        <v>1667</v>
      </c>
      <c r="B354" s="82" t="s">
        <v>1550</v>
      </c>
      <c r="C354" s="85" t="s">
        <v>1788</v>
      </c>
      <c r="D354" s="85" t="s">
        <v>141</v>
      </c>
      <c r="E354" s="85" t="s">
        <v>60</v>
      </c>
      <c r="F354" s="85" t="s">
        <v>1071</v>
      </c>
      <c r="G354" s="90">
        <f aca="true" t="shared" si="33" ref="G354:I355">G355</f>
        <v>807</v>
      </c>
      <c r="H354" s="90">
        <f t="shared" si="33"/>
        <v>0</v>
      </c>
      <c r="I354" s="422">
        <f t="shared" si="33"/>
        <v>0</v>
      </c>
      <c r="J354" s="203">
        <f t="shared" si="30"/>
        <v>0</v>
      </c>
      <c r="K354" s="433"/>
    </row>
    <row r="355" spans="1:11" ht="24">
      <c r="A355" s="87" t="s">
        <v>1355</v>
      </c>
      <c r="B355" s="82" t="s">
        <v>1550</v>
      </c>
      <c r="C355" s="85" t="s">
        <v>1788</v>
      </c>
      <c r="D355" s="85" t="s">
        <v>141</v>
      </c>
      <c r="E355" s="85" t="s">
        <v>60</v>
      </c>
      <c r="F355" s="85" t="s">
        <v>744</v>
      </c>
      <c r="G355" s="90">
        <f t="shared" si="33"/>
        <v>807</v>
      </c>
      <c r="H355" s="90">
        <f t="shared" si="33"/>
        <v>0</v>
      </c>
      <c r="I355" s="422">
        <f t="shared" si="33"/>
        <v>0</v>
      </c>
      <c r="J355" s="203">
        <f t="shared" si="30"/>
        <v>0</v>
      </c>
      <c r="K355" s="433"/>
    </row>
    <row r="356" spans="1:11" ht="24">
      <c r="A356" s="87" t="s">
        <v>745</v>
      </c>
      <c r="B356" s="82" t="s">
        <v>1550</v>
      </c>
      <c r="C356" s="85" t="s">
        <v>1788</v>
      </c>
      <c r="D356" s="85" t="s">
        <v>141</v>
      </c>
      <c r="E356" s="85" t="s">
        <v>60</v>
      </c>
      <c r="F356" s="85" t="s">
        <v>746</v>
      </c>
      <c r="G356" s="90">
        <v>807</v>
      </c>
      <c r="H356" s="90">
        <v>0</v>
      </c>
      <c r="I356" s="422"/>
      <c r="J356" s="203">
        <f t="shared" si="30"/>
        <v>0</v>
      </c>
      <c r="K356" s="433"/>
    </row>
    <row r="357" spans="1:11" ht="24">
      <c r="A357" s="87" t="s">
        <v>379</v>
      </c>
      <c r="B357" s="82" t="s">
        <v>1550</v>
      </c>
      <c r="C357" s="85" t="s">
        <v>1788</v>
      </c>
      <c r="D357" s="85" t="s">
        <v>141</v>
      </c>
      <c r="E357" s="85" t="s">
        <v>1515</v>
      </c>
      <c r="F357" s="85" t="s">
        <v>1071</v>
      </c>
      <c r="G357" s="90">
        <f>G358</f>
        <v>0</v>
      </c>
      <c r="H357" s="90">
        <f>H358</f>
        <v>54508.1</v>
      </c>
      <c r="I357" s="422">
        <f>I358</f>
        <v>54502.1</v>
      </c>
      <c r="J357" s="203"/>
      <c r="K357" s="433">
        <f t="shared" si="31"/>
        <v>99.98899246167083</v>
      </c>
    </row>
    <row r="358" spans="1:11" ht="24">
      <c r="A358" s="87" t="s">
        <v>819</v>
      </c>
      <c r="B358" s="82" t="s">
        <v>1550</v>
      </c>
      <c r="C358" s="85" t="s">
        <v>1788</v>
      </c>
      <c r="D358" s="85" t="s">
        <v>141</v>
      </c>
      <c r="E358" s="85" t="s">
        <v>1515</v>
      </c>
      <c r="F358" s="85" t="s">
        <v>744</v>
      </c>
      <c r="G358" s="90"/>
      <c r="H358" s="90">
        <v>54508.1</v>
      </c>
      <c r="I358" s="422">
        <v>54502.1</v>
      </c>
      <c r="J358" s="203"/>
      <c r="K358" s="433">
        <f t="shared" si="31"/>
        <v>99.98899246167083</v>
      </c>
    </row>
    <row r="359" spans="1:11" ht="24">
      <c r="A359" s="86" t="s">
        <v>909</v>
      </c>
      <c r="B359" s="82" t="s">
        <v>1550</v>
      </c>
      <c r="C359" s="85" t="s">
        <v>1788</v>
      </c>
      <c r="D359" s="85" t="s">
        <v>141</v>
      </c>
      <c r="E359" s="85" t="s">
        <v>910</v>
      </c>
      <c r="F359" s="85"/>
      <c r="G359" s="90">
        <f>G360+G363</f>
        <v>23760</v>
      </c>
      <c r="H359" s="90">
        <f>H360+H363</f>
        <v>51693.600000000006</v>
      </c>
      <c r="I359" s="422">
        <f>I360+I363</f>
        <v>37374.2</v>
      </c>
      <c r="J359" s="203">
        <f t="shared" si="30"/>
        <v>157.29882154882154</v>
      </c>
      <c r="K359" s="433">
        <f t="shared" si="31"/>
        <v>72.29947227509787</v>
      </c>
    </row>
    <row r="360" spans="1:11" ht="24">
      <c r="A360" s="87" t="s">
        <v>1156</v>
      </c>
      <c r="B360" s="82" t="s">
        <v>1550</v>
      </c>
      <c r="C360" s="85" t="s">
        <v>1788</v>
      </c>
      <c r="D360" s="85" t="s">
        <v>141</v>
      </c>
      <c r="E360" s="85" t="s">
        <v>741</v>
      </c>
      <c r="F360" s="85" t="s">
        <v>1071</v>
      </c>
      <c r="G360" s="90">
        <f>G361</f>
        <v>23760</v>
      </c>
      <c r="H360" s="90"/>
      <c r="I360" s="422"/>
      <c r="J360" s="203">
        <f t="shared" si="30"/>
        <v>0</v>
      </c>
      <c r="K360" s="433"/>
    </row>
    <row r="361" spans="1:11" ht="24">
      <c r="A361" s="87" t="s">
        <v>1355</v>
      </c>
      <c r="B361" s="82" t="s">
        <v>1550</v>
      </c>
      <c r="C361" s="85" t="s">
        <v>1788</v>
      </c>
      <c r="D361" s="85" t="s">
        <v>141</v>
      </c>
      <c r="E361" s="85" t="s">
        <v>741</v>
      </c>
      <c r="F361" s="85" t="s">
        <v>744</v>
      </c>
      <c r="G361" s="90">
        <f>G362</f>
        <v>23760</v>
      </c>
      <c r="H361" s="90"/>
      <c r="I361" s="422"/>
      <c r="J361" s="203">
        <f t="shared" si="30"/>
        <v>0</v>
      </c>
      <c r="K361" s="433"/>
    </row>
    <row r="362" spans="1:11" ht="24">
      <c r="A362" s="87" t="s">
        <v>745</v>
      </c>
      <c r="B362" s="82" t="s">
        <v>1550</v>
      </c>
      <c r="C362" s="85" t="s">
        <v>1788</v>
      </c>
      <c r="D362" s="85" t="s">
        <v>141</v>
      </c>
      <c r="E362" s="85" t="s">
        <v>741</v>
      </c>
      <c r="F362" s="85" t="s">
        <v>746</v>
      </c>
      <c r="G362" s="90">
        <v>23760</v>
      </c>
      <c r="H362" s="90"/>
      <c r="I362" s="422"/>
      <c r="J362" s="203">
        <f t="shared" si="30"/>
        <v>0</v>
      </c>
      <c r="K362" s="433"/>
    </row>
    <row r="363" spans="1:11" ht="24">
      <c r="A363" s="361" t="s">
        <v>380</v>
      </c>
      <c r="B363" s="82" t="s">
        <v>1550</v>
      </c>
      <c r="C363" s="85" t="s">
        <v>1788</v>
      </c>
      <c r="D363" s="85" t="s">
        <v>141</v>
      </c>
      <c r="E363" s="83" t="s">
        <v>381</v>
      </c>
      <c r="F363" s="83" t="s">
        <v>1071</v>
      </c>
      <c r="G363" s="90">
        <f aca="true" t="shared" si="34" ref="G363:I364">G364</f>
        <v>0</v>
      </c>
      <c r="H363" s="90">
        <f t="shared" si="34"/>
        <v>51693.600000000006</v>
      </c>
      <c r="I363" s="422">
        <f t="shared" si="34"/>
        <v>37374.2</v>
      </c>
      <c r="J363" s="203"/>
      <c r="K363" s="433">
        <f t="shared" si="31"/>
        <v>72.29947227509787</v>
      </c>
    </row>
    <row r="364" spans="1:11" ht="24">
      <c r="A364" s="87" t="s">
        <v>819</v>
      </c>
      <c r="B364" s="82" t="s">
        <v>1550</v>
      </c>
      <c r="C364" s="85" t="s">
        <v>1788</v>
      </c>
      <c r="D364" s="85" t="s">
        <v>141</v>
      </c>
      <c r="E364" s="85" t="s">
        <v>381</v>
      </c>
      <c r="F364" s="85" t="s">
        <v>744</v>
      </c>
      <c r="G364" s="90">
        <f t="shared" si="34"/>
        <v>0</v>
      </c>
      <c r="H364" s="90">
        <f t="shared" si="34"/>
        <v>51693.600000000006</v>
      </c>
      <c r="I364" s="422">
        <f t="shared" si="34"/>
        <v>37374.2</v>
      </c>
      <c r="J364" s="203"/>
      <c r="K364" s="433">
        <f t="shared" si="31"/>
        <v>72.29947227509787</v>
      </c>
    </row>
    <row r="365" spans="1:11" ht="24">
      <c r="A365" s="87" t="s">
        <v>375</v>
      </c>
      <c r="B365" s="82" t="s">
        <v>1550</v>
      </c>
      <c r="C365" s="85" t="s">
        <v>1788</v>
      </c>
      <c r="D365" s="85" t="s">
        <v>141</v>
      </c>
      <c r="E365" s="85" t="s">
        <v>381</v>
      </c>
      <c r="F365" s="85" t="s">
        <v>1637</v>
      </c>
      <c r="G365" s="90">
        <f>G366+G367+G368</f>
        <v>0</v>
      </c>
      <c r="H365" s="90">
        <f>H366+H367+H368</f>
        <v>51693.600000000006</v>
      </c>
      <c r="I365" s="422">
        <f>I366+I367+I368</f>
        <v>37374.2</v>
      </c>
      <c r="J365" s="203"/>
      <c r="K365" s="433">
        <f t="shared" si="31"/>
        <v>72.29947227509787</v>
      </c>
    </row>
    <row r="366" spans="1:11" ht="60">
      <c r="A366" s="87" t="s">
        <v>382</v>
      </c>
      <c r="B366" s="82" t="s">
        <v>1550</v>
      </c>
      <c r="C366" s="85" t="s">
        <v>1788</v>
      </c>
      <c r="D366" s="85" t="s">
        <v>141</v>
      </c>
      <c r="E366" s="85" t="s">
        <v>381</v>
      </c>
      <c r="F366" s="85" t="s">
        <v>1637</v>
      </c>
      <c r="G366" s="90"/>
      <c r="H366" s="90">
        <f>5697-139.7-522.5</f>
        <v>5034.8</v>
      </c>
      <c r="I366" s="422">
        <v>5034.8</v>
      </c>
      <c r="J366" s="203"/>
      <c r="K366" s="433">
        <f t="shared" si="31"/>
        <v>100</v>
      </c>
    </row>
    <row r="367" spans="1:11" ht="36">
      <c r="A367" s="87" t="s">
        <v>1797</v>
      </c>
      <c r="B367" s="82" t="s">
        <v>1550</v>
      </c>
      <c r="C367" s="85" t="s">
        <v>1788</v>
      </c>
      <c r="D367" s="85" t="s">
        <v>141</v>
      </c>
      <c r="E367" s="85" t="s">
        <v>381</v>
      </c>
      <c r="F367" s="85" t="s">
        <v>1637</v>
      </c>
      <c r="G367" s="90"/>
      <c r="H367" s="90">
        <v>30840.9</v>
      </c>
      <c r="I367" s="422">
        <v>18088.3</v>
      </c>
      <c r="J367" s="203"/>
      <c r="K367" s="433">
        <f t="shared" si="31"/>
        <v>58.650363640490376</v>
      </c>
    </row>
    <row r="368" spans="1:11" ht="24">
      <c r="A368" s="87" t="s">
        <v>494</v>
      </c>
      <c r="B368" s="82" t="s">
        <v>1550</v>
      </c>
      <c r="C368" s="85" t="s">
        <v>1788</v>
      </c>
      <c r="D368" s="85" t="s">
        <v>141</v>
      </c>
      <c r="E368" s="85" t="s">
        <v>381</v>
      </c>
      <c r="F368" s="85" t="s">
        <v>1637</v>
      </c>
      <c r="G368" s="90"/>
      <c r="H368" s="90">
        <v>15817.9</v>
      </c>
      <c r="I368" s="422">
        <v>14251.1</v>
      </c>
      <c r="J368" s="203"/>
      <c r="K368" s="433">
        <f t="shared" si="31"/>
        <v>90.09476605617687</v>
      </c>
    </row>
    <row r="369" spans="1:11" ht="15">
      <c r="A369" s="106" t="s">
        <v>969</v>
      </c>
      <c r="B369" s="82" t="s">
        <v>1550</v>
      </c>
      <c r="C369" s="85" t="s">
        <v>1788</v>
      </c>
      <c r="D369" s="85" t="s">
        <v>142</v>
      </c>
      <c r="E369" s="85"/>
      <c r="F369" s="85"/>
      <c r="G369" s="90">
        <f>G370+G391+G399+G405</f>
        <v>178260</v>
      </c>
      <c r="H369" s="90">
        <f>H370+H391+H399+H405</f>
        <v>260555.2</v>
      </c>
      <c r="I369" s="422">
        <f>I370+I391+I399+I405</f>
        <v>218879.80000000002</v>
      </c>
      <c r="J369" s="203">
        <f t="shared" si="30"/>
        <v>122.7868282284304</v>
      </c>
      <c r="K369" s="433">
        <f t="shared" si="31"/>
        <v>84.0051551456275</v>
      </c>
    </row>
    <row r="370" spans="1:11" ht="24">
      <c r="A370" s="86" t="s">
        <v>61</v>
      </c>
      <c r="B370" s="82" t="s">
        <v>1550</v>
      </c>
      <c r="C370" s="85" t="s">
        <v>1788</v>
      </c>
      <c r="D370" s="85" t="s">
        <v>142</v>
      </c>
      <c r="E370" s="85" t="s">
        <v>62</v>
      </c>
      <c r="F370" s="85"/>
      <c r="G370" s="90">
        <f>G371+G373+G375+G377+G379</f>
        <v>161081</v>
      </c>
      <c r="H370" s="90">
        <f>H371+H373+H375+H377+H379</f>
        <v>162959.1</v>
      </c>
      <c r="I370" s="422">
        <f>I371+I373+I375+I377+I379</f>
        <v>125185.20000000001</v>
      </c>
      <c r="J370" s="203">
        <f t="shared" si="30"/>
        <v>77.71568341393461</v>
      </c>
      <c r="K370" s="433">
        <f t="shared" si="31"/>
        <v>76.82001189255465</v>
      </c>
    </row>
    <row r="371" spans="1:11" ht="48">
      <c r="A371" s="87" t="s">
        <v>384</v>
      </c>
      <c r="B371" s="82" t="s">
        <v>1550</v>
      </c>
      <c r="C371" s="85" t="s">
        <v>1788</v>
      </c>
      <c r="D371" s="85" t="s">
        <v>142</v>
      </c>
      <c r="E371" s="85" t="s">
        <v>385</v>
      </c>
      <c r="F371" s="85" t="s">
        <v>1071</v>
      </c>
      <c r="G371" s="90">
        <f>G372</f>
        <v>0</v>
      </c>
      <c r="H371" s="90">
        <f>H372</f>
        <v>24265.2</v>
      </c>
      <c r="I371" s="422">
        <f>I372</f>
        <v>22120.8</v>
      </c>
      <c r="J371" s="203"/>
      <c r="K371" s="433">
        <f t="shared" si="31"/>
        <v>91.1626526877998</v>
      </c>
    </row>
    <row r="372" spans="1:11" ht="24">
      <c r="A372" s="87" t="s">
        <v>819</v>
      </c>
      <c r="B372" s="82" t="s">
        <v>1550</v>
      </c>
      <c r="C372" s="85" t="s">
        <v>1788</v>
      </c>
      <c r="D372" s="85" t="s">
        <v>142</v>
      </c>
      <c r="E372" s="85" t="s">
        <v>385</v>
      </c>
      <c r="F372" s="85" t="s">
        <v>744</v>
      </c>
      <c r="G372" s="90"/>
      <c r="H372" s="90">
        <v>24265.2</v>
      </c>
      <c r="I372" s="422">
        <v>22120.8</v>
      </c>
      <c r="J372" s="203"/>
      <c r="K372" s="433">
        <f t="shared" si="31"/>
        <v>91.1626526877998</v>
      </c>
    </row>
    <row r="373" spans="1:11" ht="36">
      <c r="A373" s="87" t="s">
        <v>1351</v>
      </c>
      <c r="B373" s="82" t="s">
        <v>1550</v>
      </c>
      <c r="C373" s="85" t="s">
        <v>1788</v>
      </c>
      <c r="D373" s="85" t="s">
        <v>142</v>
      </c>
      <c r="E373" s="85" t="s">
        <v>1352</v>
      </c>
      <c r="F373" s="85" t="s">
        <v>1071</v>
      </c>
      <c r="G373" s="90">
        <f>G374</f>
        <v>0</v>
      </c>
      <c r="H373" s="90">
        <f>H374</f>
        <v>50612.9</v>
      </c>
      <c r="I373" s="422">
        <f>I374</f>
        <v>45530.8</v>
      </c>
      <c r="J373" s="203"/>
      <c r="K373" s="433">
        <f t="shared" si="31"/>
        <v>89.95888399992887</v>
      </c>
    </row>
    <row r="374" spans="1:11" ht="24">
      <c r="A374" s="87" t="s">
        <v>819</v>
      </c>
      <c r="B374" s="82" t="s">
        <v>1550</v>
      </c>
      <c r="C374" s="85" t="s">
        <v>1788</v>
      </c>
      <c r="D374" s="85" t="s">
        <v>142</v>
      </c>
      <c r="E374" s="85" t="s">
        <v>1352</v>
      </c>
      <c r="F374" s="85" t="s">
        <v>744</v>
      </c>
      <c r="G374" s="90"/>
      <c r="H374" s="90">
        <v>50612.9</v>
      </c>
      <c r="I374" s="422">
        <v>45530.8</v>
      </c>
      <c r="J374" s="203"/>
      <c r="K374" s="433">
        <f t="shared" si="31"/>
        <v>89.95888399992887</v>
      </c>
    </row>
    <row r="375" spans="1:11" ht="36">
      <c r="A375" s="87" t="s">
        <v>1353</v>
      </c>
      <c r="B375" s="82" t="s">
        <v>1550</v>
      </c>
      <c r="C375" s="85" t="s">
        <v>1788</v>
      </c>
      <c r="D375" s="85" t="s">
        <v>142</v>
      </c>
      <c r="E375" s="85" t="s">
        <v>1354</v>
      </c>
      <c r="F375" s="85" t="s">
        <v>1071</v>
      </c>
      <c r="G375" s="90">
        <f>G376</f>
        <v>0</v>
      </c>
      <c r="H375" s="90">
        <f>H376</f>
        <v>60626.8</v>
      </c>
      <c r="I375" s="422">
        <f>I376</f>
        <v>33060.8</v>
      </c>
      <c r="J375" s="203"/>
      <c r="K375" s="433">
        <f t="shared" si="31"/>
        <v>54.53165926619911</v>
      </c>
    </row>
    <row r="376" spans="1:11" ht="24">
      <c r="A376" s="87" t="s">
        <v>1355</v>
      </c>
      <c r="B376" s="82" t="s">
        <v>1550</v>
      </c>
      <c r="C376" s="85" t="s">
        <v>1788</v>
      </c>
      <c r="D376" s="85" t="s">
        <v>142</v>
      </c>
      <c r="E376" s="85" t="s">
        <v>1354</v>
      </c>
      <c r="F376" s="85" t="s">
        <v>744</v>
      </c>
      <c r="G376" s="90"/>
      <c r="H376" s="90">
        <v>60626.8</v>
      </c>
      <c r="I376" s="422">
        <v>33060.8</v>
      </c>
      <c r="J376" s="203"/>
      <c r="K376" s="433">
        <f t="shared" si="31"/>
        <v>54.53165926619911</v>
      </c>
    </row>
    <row r="377" spans="1:11" ht="24">
      <c r="A377" s="87" t="s">
        <v>1497</v>
      </c>
      <c r="B377" s="82" t="s">
        <v>1550</v>
      </c>
      <c r="C377" s="85" t="s">
        <v>1788</v>
      </c>
      <c r="D377" s="85" t="s">
        <v>142</v>
      </c>
      <c r="E377" s="85" t="s">
        <v>1498</v>
      </c>
      <c r="F377" s="85" t="s">
        <v>1071</v>
      </c>
      <c r="G377" s="90">
        <f>G378</f>
        <v>0</v>
      </c>
      <c r="H377" s="90">
        <f>H378</f>
        <v>7052.3</v>
      </c>
      <c r="I377" s="422">
        <f>I378</f>
        <v>5027.1</v>
      </c>
      <c r="J377" s="203"/>
      <c r="K377" s="433">
        <f t="shared" si="31"/>
        <v>71.2831274903223</v>
      </c>
    </row>
    <row r="378" spans="1:11" ht="24">
      <c r="A378" s="87" t="s">
        <v>819</v>
      </c>
      <c r="B378" s="82" t="s">
        <v>1550</v>
      </c>
      <c r="C378" s="85" t="s">
        <v>1788</v>
      </c>
      <c r="D378" s="85" t="s">
        <v>142</v>
      </c>
      <c r="E378" s="85" t="s">
        <v>1498</v>
      </c>
      <c r="F378" s="85" t="s">
        <v>744</v>
      </c>
      <c r="G378" s="90"/>
      <c r="H378" s="90">
        <v>7052.3</v>
      </c>
      <c r="I378" s="422">
        <v>5027.1</v>
      </c>
      <c r="J378" s="203"/>
      <c r="K378" s="433">
        <f t="shared" si="31"/>
        <v>71.2831274903223</v>
      </c>
    </row>
    <row r="379" spans="1:11" ht="24.75" customHeight="1">
      <c r="A379" s="87" t="s">
        <v>661</v>
      </c>
      <c r="B379" s="82" t="s">
        <v>1550</v>
      </c>
      <c r="C379" s="85" t="s">
        <v>1788</v>
      </c>
      <c r="D379" s="85" t="s">
        <v>142</v>
      </c>
      <c r="E379" s="85" t="s">
        <v>63</v>
      </c>
      <c r="F379" s="314" t="s">
        <v>1071</v>
      </c>
      <c r="G379" s="90">
        <f>G380</f>
        <v>161081</v>
      </c>
      <c r="H379" s="90">
        <f>H380</f>
        <v>20401.9</v>
      </c>
      <c r="I379" s="422">
        <f>I380</f>
        <v>19445.699999999997</v>
      </c>
      <c r="J379" s="203">
        <f t="shared" si="30"/>
        <v>12.072001042953543</v>
      </c>
      <c r="K379" s="433">
        <f t="shared" si="31"/>
        <v>95.31318161543776</v>
      </c>
    </row>
    <row r="380" spans="1:11" ht="24">
      <c r="A380" s="87" t="s">
        <v>819</v>
      </c>
      <c r="B380" s="82" t="s">
        <v>1550</v>
      </c>
      <c r="C380" s="85" t="s">
        <v>1788</v>
      </c>
      <c r="D380" s="85" t="s">
        <v>142</v>
      </c>
      <c r="E380" s="85" t="s">
        <v>63</v>
      </c>
      <c r="F380" s="85" t="s">
        <v>744</v>
      </c>
      <c r="G380" s="90">
        <f>G381+G382+G387</f>
        <v>161081</v>
      </c>
      <c r="H380" s="90">
        <f>H381+H382+H387</f>
        <v>20401.9</v>
      </c>
      <c r="I380" s="422">
        <f>I381+I382+I387</f>
        <v>19445.699999999997</v>
      </c>
      <c r="J380" s="203">
        <f t="shared" si="30"/>
        <v>12.072001042953543</v>
      </c>
      <c r="K380" s="433">
        <f t="shared" si="31"/>
        <v>95.31318161543776</v>
      </c>
    </row>
    <row r="381" spans="1:11" ht="24">
      <c r="A381" s="87" t="s">
        <v>745</v>
      </c>
      <c r="B381" s="82" t="s">
        <v>1550</v>
      </c>
      <c r="C381" s="85" t="s">
        <v>1788</v>
      </c>
      <c r="D381" s="85" t="s">
        <v>142</v>
      </c>
      <c r="E381" s="85" t="s">
        <v>63</v>
      </c>
      <c r="F381" s="85" t="s">
        <v>746</v>
      </c>
      <c r="G381" s="90">
        <v>132772</v>
      </c>
      <c r="H381" s="90">
        <v>15625.5</v>
      </c>
      <c r="I381" s="422">
        <v>14769.3</v>
      </c>
      <c r="J381" s="203">
        <f t="shared" si="30"/>
        <v>11.123806224203898</v>
      </c>
      <c r="K381" s="433">
        <f t="shared" si="31"/>
        <v>94.52049534414898</v>
      </c>
    </row>
    <row r="382" spans="1:11" ht="24">
      <c r="A382" s="87" t="s">
        <v>375</v>
      </c>
      <c r="B382" s="82" t="s">
        <v>1550</v>
      </c>
      <c r="C382" s="85" t="s">
        <v>1788</v>
      </c>
      <c r="D382" s="85" t="s">
        <v>142</v>
      </c>
      <c r="E382" s="85" t="s">
        <v>63</v>
      </c>
      <c r="F382" s="85" t="s">
        <v>1637</v>
      </c>
      <c r="G382" s="90">
        <f>G383+G384+G385+G386+G390</f>
        <v>5773</v>
      </c>
      <c r="H382" s="90">
        <f>H383+H384+H385+H386+H390</f>
        <v>4776.400000000001</v>
      </c>
      <c r="I382" s="422">
        <f>I383+I384+I385+I386+I390</f>
        <v>4676.4</v>
      </c>
      <c r="J382" s="203">
        <f t="shared" si="30"/>
        <v>81.00467694439632</v>
      </c>
      <c r="K382" s="433">
        <f t="shared" si="31"/>
        <v>97.9063730005862</v>
      </c>
    </row>
    <row r="383" spans="1:11" ht="72">
      <c r="A383" s="87" t="s">
        <v>1499</v>
      </c>
      <c r="B383" s="82" t="s">
        <v>1550</v>
      </c>
      <c r="C383" s="85" t="s">
        <v>1788</v>
      </c>
      <c r="D383" s="85" t="s">
        <v>142</v>
      </c>
      <c r="E383" s="85" t="s">
        <v>63</v>
      </c>
      <c r="F383" s="85" t="s">
        <v>1637</v>
      </c>
      <c r="G383" s="90"/>
      <c r="H383" s="90">
        <f>4191.8+100+355.1</f>
        <v>4646.900000000001</v>
      </c>
      <c r="I383" s="422">
        <v>4646.9</v>
      </c>
      <c r="J383" s="203"/>
      <c r="K383" s="433">
        <f t="shared" si="31"/>
        <v>99.99999999999997</v>
      </c>
    </row>
    <row r="384" spans="1:11" ht="60">
      <c r="A384" s="87" t="s">
        <v>1500</v>
      </c>
      <c r="B384" s="82" t="s">
        <v>1550</v>
      </c>
      <c r="C384" s="85" t="s">
        <v>1788</v>
      </c>
      <c r="D384" s="85" t="s">
        <v>142</v>
      </c>
      <c r="E384" s="85" t="s">
        <v>1501</v>
      </c>
      <c r="F384" s="85" t="s">
        <v>1637</v>
      </c>
      <c r="G384" s="90">
        <v>5487</v>
      </c>
      <c r="H384" s="90">
        <v>0</v>
      </c>
      <c r="I384" s="422">
        <v>0</v>
      </c>
      <c r="J384" s="203">
        <f t="shared" si="30"/>
        <v>0</v>
      </c>
      <c r="K384" s="433"/>
    </row>
    <row r="385" spans="1:11" ht="24">
      <c r="A385" s="87" t="s">
        <v>1502</v>
      </c>
      <c r="B385" s="82" t="s">
        <v>1550</v>
      </c>
      <c r="C385" s="85" t="s">
        <v>1788</v>
      </c>
      <c r="D385" s="85" t="s">
        <v>142</v>
      </c>
      <c r="E385" s="85" t="s">
        <v>1503</v>
      </c>
      <c r="F385" s="85" t="s">
        <v>1637</v>
      </c>
      <c r="G385" s="90">
        <v>286</v>
      </c>
      <c r="H385" s="90"/>
      <c r="I385" s="422"/>
      <c r="J385" s="203">
        <f t="shared" si="30"/>
        <v>0</v>
      </c>
      <c r="K385" s="433"/>
    </row>
    <row r="386" spans="1:11" ht="48">
      <c r="A386" s="87" t="s">
        <v>1504</v>
      </c>
      <c r="B386" s="82" t="s">
        <v>1550</v>
      </c>
      <c r="C386" s="85" t="s">
        <v>1788</v>
      </c>
      <c r="D386" s="85" t="s">
        <v>142</v>
      </c>
      <c r="E386" s="85" t="s">
        <v>1505</v>
      </c>
      <c r="F386" s="85" t="s">
        <v>1637</v>
      </c>
      <c r="G386" s="90"/>
      <c r="H386" s="90">
        <v>29.5</v>
      </c>
      <c r="I386" s="422">
        <v>29.5</v>
      </c>
      <c r="J386" s="203"/>
      <c r="K386" s="433">
        <f t="shared" si="31"/>
        <v>100</v>
      </c>
    </row>
    <row r="387" spans="1:11" ht="36">
      <c r="A387" s="87" t="s">
        <v>1668</v>
      </c>
      <c r="B387" s="82" t="s">
        <v>1550</v>
      </c>
      <c r="C387" s="85" t="s">
        <v>1788</v>
      </c>
      <c r="D387" s="85" t="s">
        <v>142</v>
      </c>
      <c r="E387" s="85" t="s">
        <v>64</v>
      </c>
      <c r="F387" s="85" t="s">
        <v>1071</v>
      </c>
      <c r="G387" s="90">
        <f aca="true" t="shared" si="35" ref="G387:I388">G388</f>
        <v>22536</v>
      </c>
      <c r="H387" s="90">
        <f t="shared" si="35"/>
        <v>0</v>
      </c>
      <c r="I387" s="422">
        <f t="shared" si="35"/>
        <v>0</v>
      </c>
      <c r="J387" s="203">
        <f t="shared" si="30"/>
        <v>0</v>
      </c>
      <c r="K387" s="433"/>
    </row>
    <row r="388" spans="1:11" ht="24">
      <c r="A388" s="87" t="s">
        <v>1355</v>
      </c>
      <c r="B388" s="82" t="s">
        <v>1550</v>
      </c>
      <c r="C388" s="85" t="s">
        <v>1788</v>
      </c>
      <c r="D388" s="85" t="s">
        <v>142</v>
      </c>
      <c r="E388" s="85" t="s">
        <v>64</v>
      </c>
      <c r="F388" s="85" t="s">
        <v>744</v>
      </c>
      <c r="G388" s="90">
        <f t="shared" si="35"/>
        <v>22536</v>
      </c>
      <c r="H388" s="90">
        <f t="shared" si="35"/>
        <v>0</v>
      </c>
      <c r="I388" s="422">
        <f t="shared" si="35"/>
        <v>0</v>
      </c>
      <c r="J388" s="203">
        <f t="shared" si="30"/>
        <v>0</v>
      </c>
      <c r="K388" s="433"/>
    </row>
    <row r="389" spans="1:11" ht="24">
      <c r="A389" s="87" t="s">
        <v>745</v>
      </c>
      <c r="B389" s="82" t="s">
        <v>1550</v>
      </c>
      <c r="C389" s="85" t="s">
        <v>1788</v>
      </c>
      <c r="D389" s="85" t="s">
        <v>142</v>
      </c>
      <c r="E389" s="85" t="s">
        <v>64</v>
      </c>
      <c r="F389" s="85" t="s">
        <v>746</v>
      </c>
      <c r="G389" s="90">
        <v>22536</v>
      </c>
      <c r="H389" s="90">
        <v>0</v>
      </c>
      <c r="I389" s="422">
        <v>0</v>
      </c>
      <c r="J389" s="203">
        <f t="shared" si="30"/>
        <v>0</v>
      </c>
      <c r="K389" s="433"/>
    </row>
    <row r="390" spans="1:11" ht="24">
      <c r="A390" s="87" t="s">
        <v>1506</v>
      </c>
      <c r="B390" s="82" t="s">
        <v>1550</v>
      </c>
      <c r="C390" s="85" t="s">
        <v>1788</v>
      </c>
      <c r="D390" s="85" t="s">
        <v>142</v>
      </c>
      <c r="E390" s="85" t="s">
        <v>63</v>
      </c>
      <c r="F390" s="85" t="s">
        <v>1637</v>
      </c>
      <c r="G390" s="90"/>
      <c r="H390" s="90">
        <v>100</v>
      </c>
      <c r="I390" s="422"/>
      <c r="J390" s="203"/>
      <c r="K390" s="433">
        <f t="shared" si="31"/>
        <v>0</v>
      </c>
    </row>
    <row r="391" spans="1:11" ht="24">
      <c r="A391" s="86" t="s">
        <v>65</v>
      </c>
      <c r="B391" s="82" t="s">
        <v>1550</v>
      </c>
      <c r="C391" s="85" t="s">
        <v>1788</v>
      </c>
      <c r="D391" s="85" t="s">
        <v>142</v>
      </c>
      <c r="E391" s="85" t="s">
        <v>66</v>
      </c>
      <c r="F391" s="85"/>
      <c r="G391" s="90">
        <f>G392+G394+G396</f>
        <v>7029</v>
      </c>
      <c r="H391" s="90">
        <f>H392+H394+H396</f>
        <v>7053</v>
      </c>
      <c r="I391" s="422">
        <f>I392+I394+I396</f>
        <v>6422</v>
      </c>
      <c r="J391" s="203">
        <f t="shared" si="30"/>
        <v>91.36434770237587</v>
      </c>
      <c r="K391" s="433">
        <f t="shared" si="31"/>
        <v>91.05345243158939</v>
      </c>
    </row>
    <row r="392" spans="1:11" ht="24">
      <c r="A392" s="87" t="s">
        <v>1507</v>
      </c>
      <c r="B392" s="82" t="s">
        <v>1550</v>
      </c>
      <c r="C392" s="85" t="s">
        <v>1788</v>
      </c>
      <c r="D392" s="85" t="s">
        <v>142</v>
      </c>
      <c r="E392" s="85" t="s">
        <v>1508</v>
      </c>
      <c r="F392" s="85" t="s">
        <v>1071</v>
      </c>
      <c r="G392" s="90">
        <f>G393</f>
        <v>0</v>
      </c>
      <c r="H392" s="90">
        <f>H393</f>
        <v>5525</v>
      </c>
      <c r="I392" s="422">
        <f>I393</f>
        <v>5074.9</v>
      </c>
      <c r="J392" s="203"/>
      <c r="K392" s="433">
        <f t="shared" si="31"/>
        <v>91.85339366515836</v>
      </c>
    </row>
    <row r="393" spans="1:11" ht="24">
      <c r="A393" s="87" t="s">
        <v>819</v>
      </c>
      <c r="B393" s="82" t="s">
        <v>1550</v>
      </c>
      <c r="C393" s="85" t="s">
        <v>1788</v>
      </c>
      <c r="D393" s="85" t="s">
        <v>142</v>
      </c>
      <c r="E393" s="85" t="s">
        <v>1508</v>
      </c>
      <c r="F393" s="85" t="s">
        <v>744</v>
      </c>
      <c r="G393" s="90"/>
      <c r="H393" s="90">
        <v>5525</v>
      </c>
      <c r="I393" s="422">
        <v>5074.9</v>
      </c>
      <c r="J393" s="203"/>
      <c r="K393" s="433">
        <f t="shared" si="31"/>
        <v>91.85339366515836</v>
      </c>
    </row>
    <row r="394" spans="1:11" ht="36">
      <c r="A394" s="87" t="s">
        <v>1509</v>
      </c>
      <c r="B394" s="82" t="s">
        <v>1550</v>
      </c>
      <c r="C394" s="85" t="s">
        <v>1788</v>
      </c>
      <c r="D394" s="85" t="s">
        <v>142</v>
      </c>
      <c r="E394" s="85" t="s">
        <v>1510</v>
      </c>
      <c r="F394" s="85" t="s">
        <v>1071</v>
      </c>
      <c r="G394" s="90">
        <f>G395</f>
        <v>0</v>
      </c>
      <c r="H394" s="90">
        <f>H395</f>
        <v>1514</v>
      </c>
      <c r="I394" s="422">
        <f>I395</f>
        <v>1333.1</v>
      </c>
      <c r="J394" s="203"/>
      <c r="K394" s="433">
        <f aca="true" t="shared" si="36" ref="K394:K457">I394/H394*100</f>
        <v>88.05151915455745</v>
      </c>
    </row>
    <row r="395" spans="1:11" ht="24">
      <c r="A395" s="87" t="s">
        <v>819</v>
      </c>
      <c r="B395" s="82" t="s">
        <v>1550</v>
      </c>
      <c r="C395" s="85" t="s">
        <v>1788</v>
      </c>
      <c r="D395" s="85" t="s">
        <v>142</v>
      </c>
      <c r="E395" s="85" t="s">
        <v>1510</v>
      </c>
      <c r="F395" s="85" t="s">
        <v>744</v>
      </c>
      <c r="G395" s="90"/>
      <c r="H395" s="90">
        <v>1514</v>
      </c>
      <c r="I395" s="422">
        <v>1333.1</v>
      </c>
      <c r="J395" s="203"/>
      <c r="K395" s="433">
        <f t="shared" si="36"/>
        <v>88.05151915455745</v>
      </c>
    </row>
    <row r="396" spans="1:11" ht="24">
      <c r="A396" s="87" t="s">
        <v>661</v>
      </c>
      <c r="B396" s="82" t="s">
        <v>1550</v>
      </c>
      <c r="C396" s="85" t="s">
        <v>1788</v>
      </c>
      <c r="D396" s="85" t="s">
        <v>142</v>
      </c>
      <c r="E396" s="85" t="s">
        <v>67</v>
      </c>
      <c r="F396" s="85" t="s">
        <v>1071</v>
      </c>
      <c r="G396" s="90">
        <f aca="true" t="shared" si="37" ref="G396:I397">G397</f>
        <v>7029</v>
      </c>
      <c r="H396" s="90">
        <f t="shared" si="37"/>
        <v>14</v>
      </c>
      <c r="I396" s="422">
        <f t="shared" si="37"/>
        <v>14</v>
      </c>
      <c r="J396" s="203">
        <f>I396/G396*100</f>
        <v>0.19917484706217103</v>
      </c>
      <c r="K396" s="433">
        <f t="shared" si="36"/>
        <v>100</v>
      </c>
    </row>
    <row r="397" spans="1:11" ht="24">
      <c r="A397" s="87" t="s">
        <v>819</v>
      </c>
      <c r="B397" s="82" t="s">
        <v>1550</v>
      </c>
      <c r="C397" s="85" t="s">
        <v>1788</v>
      </c>
      <c r="D397" s="85" t="s">
        <v>142</v>
      </c>
      <c r="E397" s="85" t="s">
        <v>67</v>
      </c>
      <c r="F397" s="85" t="s">
        <v>744</v>
      </c>
      <c r="G397" s="90">
        <f t="shared" si="37"/>
        <v>7029</v>
      </c>
      <c r="H397" s="90">
        <f t="shared" si="37"/>
        <v>14</v>
      </c>
      <c r="I397" s="422">
        <f t="shared" si="37"/>
        <v>14</v>
      </c>
      <c r="J397" s="203">
        <f>I397/G397*100</f>
        <v>0.19917484706217103</v>
      </c>
      <c r="K397" s="433">
        <f t="shared" si="36"/>
        <v>100</v>
      </c>
    </row>
    <row r="398" spans="1:11" ht="24">
      <c r="A398" s="87" t="s">
        <v>745</v>
      </c>
      <c r="B398" s="82" t="s">
        <v>1550</v>
      </c>
      <c r="C398" s="85" t="s">
        <v>1788</v>
      </c>
      <c r="D398" s="85" t="s">
        <v>142</v>
      </c>
      <c r="E398" s="85" t="s">
        <v>67</v>
      </c>
      <c r="F398" s="85" t="s">
        <v>746</v>
      </c>
      <c r="G398" s="90">
        <v>7029</v>
      </c>
      <c r="H398" s="90">
        <v>14</v>
      </c>
      <c r="I398" s="422">
        <v>14</v>
      </c>
      <c r="J398" s="203">
        <f>I398/G398*100</f>
        <v>0.19917484706217103</v>
      </c>
      <c r="K398" s="433">
        <f t="shared" si="36"/>
        <v>100</v>
      </c>
    </row>
    <row r="399" spans="1:11" ht="24">
      <c r="A399" s="370" t="s">
        <v>848</v>
      </c>
      <c r="B399" s="82" t="s">
        <v>1550</v>
      </c>
      <c r="C399" s="85" t="s">
        <v>1788</v>
      </c>
      <c r="D399" s="85" t="s">
        <v>142</v>
      </c>
      <c r="E399" s="85" t="s">
        <v>849</v>
      </c>
      <c r="F399" s="85"/>
      <c r="G399" s="90">
        <f>G400+G403</f>
        <v>860</v>
      </c>
      <c r="H399" s="90">
        <f>H400+H403</f>
        <v>51340.5</v>
      </c>
      <c r="I399" s="422">
        <f>I400+I403</f>
        <v>51229</v>
      </c>
      <c r="J399" s="421" t="s">
        <v>1212</v>
      </c>
      <c r="K399" s="433">
        <f t="shared" si="36"/>
        <v>99.78282252802369</v>
      </c>
    </row>
    <row r="400" spans="1:11" ht="36">
      <c r="A400" s="87" t="s">
        <v>1511</v>
      </c>
      <c r="B400" s="82" t="s">
        <v>1550</v>
      </c>
      <c r="C400" s="85" t="s">
        <v>1788</v>
      </c>
      <c r="D400" s="85" t="s">
        <v>142</v>
      </c>
      <c r="E400" s="85" t="s">
        <v>68</v>
      </c>
      <c r="F400" s="85" t="s">
        <v>1071</v>
      </c>
      <c r="G400" s="90">
        <f>G401</f>
        <v>860</v>
      </c>
      <c r="H400" s="90">
        <f>H401</f>
        <v>765</v>
      </c>
      <c r="I400" s="422">
        <f>I401</f>
        <v>653.5</v>
      </c>
      <c r="J400" s="203">
        <f>I400/G400*100</f>
        <v>75.98837209302326</v>
      </c>
      <c r="K400" s="433">
        <f t="shared" si="36"/>
        <v>85.42483660130719</v>
      </c>
    </row>
    <row r="401" spans="1:11" ht="24">
      <c r="A401" s="87" t="s">
        <v>819</v>
      </c>
      <c r="B401" s="82" t="s">
        <v>1550</v>
      </c>
      <c r="C401" s="85" t="s">
        <v>1788</v>
      </c>
      <c r="D401" s="85" t="s">
        <v>142</v>
      </c>
      <c r="E401" s="85" t="s">
        <v>68</v>
      </c>
      <c r="F401" s="85" t="s">
        <v>744</v>
      </c>
      <c r="G401" s="90">
        <f>G402</f>
        <v>860</v>
      </c>
      <c r="H401" s="90">
        <v>765</v>
      </c>
      <c r="I401" s="422">
        <v>653.5</v>
      </c>
      <c r="J401" s="203">
        <f>I401/G401*100</f>
        <v>75.98837209302326</v>
      </c>
      <c r="K401" s="433">
        <f t="shared" si="36"/>
        <v>85.42483660130719</v>
      </c>
    </row>
    <row r="402" spans="1:11" ht="24.75" customHeight="1">
      <c r="A402" s="87" t="s">
        <v>745</v>
      </c>
      <c r="B402" s="82" t="s">
        <v>1550</v>
      </c>
      <c r="C402" s="85" t="s">
        <v>1788</v>
      </c>
      <c r="D402" s="85" t="s">
        <v>142</v>
      </c>
      <c r="E402" s="85" t="s">
        <v>68</v>
      </c>
      <c r="F402" s="85" t="s">
        <v>746</v>
      </c>
      <c r="G402" s="90">
        <v>860</v>
      </c>
      <c r="H402" s="90"/>
      <c r="I402" s="422"/>
      <c r="J402" s="203">
        <f>I402/G402*100</f>
        <v>0</v>
      </c>
      <c r="K402" s="433"/>
    </row>
    <row r="403" spans="1:11" ht="24">
      <c r="A403" s="87" t="s">
        <v>379</v>
      </c>
      <c r="B403" s="82" t="s">
        <v>1550</v>
      </c>
      <c r="C403" s="85" t="s">
        <v>1788</v>
      </c>
      <c r="D403" s="85" t="s">
        <v>142</v>
      </c>
      <c r="E403" s="85" t="s">
        <v>1515</v>
      </c>
      <c r="F403" s="85" t="s">
        <v>1071</v>
      </c>
      <c r="G403" s="90">
        <f>G404</f>
        <v>0</v>
      </c>
      <c r="H403" s="90">
        <f>H404</f>
        <v>50575.5</v>
      </c>
      <c r="I403" s="422">
        <f>I404</f>
        <v>50575.5</v>
      </c>
      <c r="J403" s="203"/>
      <c r="K403" s="433">
        <f t="shared" si="36"/>
        <v>100</v>
      </c>
    </row>
    <row r="404" spans="1:11" ht="24">
      <c r="A404" s="87" t="s">
        <v>819</v>
      </c>
      <c r="B404" s="82" t="s">
        <v>1550</v>
      </c>
      <c r="C404" s="85" t="s">
        <v>1788</v>
      </c>
      <c r="D404" s="85" t="s">
        <v>142</v>
      </c>
      <c r="E404" s="85" t="s">
        <v>1515</v>
      </c>
      <c r="F404" s="85" t="s">
        <v>744</v>
      </c>
      <c r="G404" s="90"/>
      <c r="H404" s="90">
        <v>50575.5</v>
      </c>
      <c r="I404" s="422">
        <v>50575.5</v>
      </c>
      <c r="J404" s="203"/>
      <c r="K404" s="433">
        <f t="shared" si="36"/>
        <v>100</v>
      </c>
    </row>
    <row r="405" spans="1:11" ht="24">
      <c r="A405" s="86" t="s">
        <v>909</v>
      </c>
      <c r="B405" s="82" t="s">
        <v>1550</v>
      </c>
      <c r="C405" s="85" t="s">
        <v>1788</v>
      </c>
      <c r="D405" s="85" t="s">
        <v>142</v>
      </c>
      <c r="E405" s="85" t="s">
        <v>910</v>
      </c>
      <c r="F405" s="85"/>
      <c r="G405" s="90">
        <f>G406+G409</f>
        <v>9290</v>
      </c>
      <c r="H405" s="90">
        <f>H406+H409</f>
        <v>39202.600000000006</v>
      </c>
      <c r="I405" s="422">
        <f>I406+I409</f>
        <v>36043.6</v>
      </c>
      <c r="J405" s="421" t="s">
        <v>1212</v>
      </c>
      <c r="K405" s="433">
        <f t="shared" si="36"/>
        <v>91.94186099901536</v>
      </c>
    </row>
    <row r="406" spans="1:11" ht="24">
      <c r="A406" s="87" t="s">
        <v>1156</v>
      </c>
      <c r="B406" s="82" t="s">
        <v>1550</v>
      </c>
      <c r="C406" s="85" t="s">
        <v>1788</v>
      </c>
      <c r="D406" s="85" t="s">
        <v>142</v>
      </c>
      <c r="E406" s="83" t="s">
        <v>741</v>
      </c>
      <c r="F406" s="83"/>
      <c r="G406" s="90">
        <f aca="true" t="shared" si="38" ref="G406:I407">G407</f>
        <v>9290</v>
      </c>
      <c r="H406" s="90">
        <f t="shared" si="38"/>
        <v>0</v>
      </c>
      <c r="I406" s="422">
        <f t="shared" si="38"/>
        <v>0</v>
      </c>
      <c r="J406" s="203">
        <f>I406/G406*100</f>
        <v>0</v>
      </c>
      <c r="K406" s="433"/>
    </row>
    <row r="407" spans="1:11" ht="24">
      <c r="A407" s="87" t="s">
        <v>743</v>
      </c>
      <c r="B407" s="82" t="s">
        <v>1550</v>
      </c>
      <c r="C407" s="85" t="s">
        <v>1788</v>
      </c>
      <c r="D407" s="85" t="s">
        <v>142</v>
      </c>
      <c r="E407" s="83" t="s">
        <v>741</v>
      </c>
      <c r="F407" s="83" t="s">
        <v>744</v>
      </c>
      <c r="G407" s="90">
        <f t="shared" si="38"/>
        <v>9290</v>
      </c>
      <c r="H407" s="90">
        <f t="shared" si="38"/>
        <v>0</v>
      </c>
      <c r="I407" s="422">
        <f t="shared" si="38"/>
        <v>0</v>
      </c>
      <c r="J407" s="203">
        <f>I407/G407*100</f>
        <v>0</v>
      </c>
      <c r="K407" s="433"/>
    </row>
    <row r="408" spans="1:11" ht="24">
      <c r="A408" s="87" t="s">
        <v>745</v>
      </c>
      <c r="B408" s="82" t="s">
        <v>1550</v>
      </c>
      <c r="C408" s="85" t="s">
        <v>1788</v>
      </c>
      <c r="D408" s="85" t="s">
        <v>142</v>
      </c>
      <c r="E408" s="83" t="s">
        <v>741</v>
      </c>
      <c r="F408" s="83" t="s">
        <v>746</v>
      </c>
      <c r="G408" s="90">
        <v>9290</v>
      </c>
      <c r="H408" s="90">
        <v>0</v>
      </c>
      <c r="I408" s="422"/>
      <c r="J408" s="203">
        <f>I408/G408*100</f>
        <v>0</v>
      </c>
      <c r="K408" s="433"/>
    </row>
    <row r="409" spans="1:11" ht="24">
      <c r="A409" s="361" t="s">
        <v>380</v>
      </c>
      <c r="B409" s="82" t="s">
        <v>1550</v>
      </c>
      <c r="C409" s="85" t="s">
        <v>1788</v>
      </c>
      <c r="D409" s="85" t="s">
        <v>142</v>
      </c>
      <c r="E409" s="83" t="s">
        <v>381</v>
      </c>
      <c r="F409" s="83" t="s">
        <v>1071</v>
      </c>
      <c r="G409" s="90">
        <f>G410</f>
        <v>0</v>
      </c>
      <c r="H409" s="90">
        <f>H410</f>
        <v>39202.600000000006</v>
      </c>
      <c r="I409" s="422">
        <f>I410</f>
        <v>36043.6</v>
      </c>
      <c r="J409" s="203"/>
      <c r="K409" s="433">
        <f t="shared" si="36"/>
        <v>91.94186099901536</v>
      </c>
    </row>
    <row r="410" spans="1:11" ht="24">
      <c r="A410" s="87" t="s">
        <v>375</v>
      </c>
      <c r="B410" s="82" t="s">
        <v>1550</v>
      </c>
      <c r="C410" s="85" t="s">
        <v>1788</v>
      </c>
      <c r="D410" s="85" t="s">
        <v>142</v>
      </c>
      <c r="E410" s="83" t="s">
        <v>381</v>
      </c>
      <c r="F410" s="83" t="s">
        <v>1637</v>
      </c>
      <c r="G410" s="90">
        <f>G411+G412+G413+G414</f>
        <v>0</v>
      </c>
      <c r="H410" s="90">
        <f>H411+H412+H413+H414</f>
        <v>39202.600000000006</v>
      </c>
      <c r="I410" s="422">
        <f>I411+I412+I413+I414</f>
        <v>36043.6</v>
      </c>
      <c r="J410" s="203"/>
      <c r="K410" s="433">
        <f t="shared" si="36"/>
        <v>91.94186099901536</v>
      </c>
    </row>
    <row r="411" spans="1:11" ht="24">
      <c r="A411" s="87" t="s">
        <v>1512</v>
      </c>
      <c r="B411" s="82" t="s">
        <v>1550</v>
      </c>
      <c r="C411" s="85" t="s">
        <v>1788</v>
      </c>
      <c r="D411" s="85" t="s">
        <v>142</v>
      </c>
      <c r="E411" s="83" t="s">
        <v>381</v>
      </c>
      <c r="F411" s="83" t="s">
        <v>1637</v>
      </c>
      <c r="G411" s="90"/>
      <c r="H411" s="90">
        <f>286-86.1-86.1</f>
        <v>113.80000000000001</v>
      </c>
      <c r="I411" s="422">
        <v>113.7</v>
      </c>
      <c r="J411" s="203"/>
      <c r="K411" s="433">
        <f t="shared" si="36"/>
        <v>99.91212653778558</v>
      </c>
    </row>
    <row r="412" spans="1:11" ht="36">
      <c r="A412" s="87" t="s">
        <v>1513</v>
      </c>
      <c r="B412" s="82" t="s">
        <v>1550</v>
      </c>
      <c r="C412" s="85" t="s">
        <v>1788</v>
      </c>
      <c r="D412" s="85" t="s">
        <v>142</v>
      </c>
      <c r="E412" s="83" t="s">
        <v>381</v>
      </c>
      <c r="F412" s="83" t="s">
        <v>1637</v>
      </c>
      <c r="G412" s="90"/>
      <c r="H412" s="90">
        <f>15601.1-5487+11454.3+99.7+200.6-148.6+194.1+49.5+114.7+174.3+100+389+1266.9-500+71.3</f>
        <v>23579.9</v>
      </c>
      <c r="I412" s="422">
        <v>20922.9</v>
      </c>
      <c r="J412" s="203"/>
      <c r="K412" s="433">
        <f t="shared" si="36"/>
        <v>88.7319284644973</v>
      </c>
    </row>
    <row r="413" spans="1:11" ht="60">
      <c r="A413" s="87" t="s">
        <v>382</v>
      </c>
      <c r="B413" s="82" t="s">
        <v>1550</v>
      </c>
      <c r="C413" s="85" t="s">
        <v>1788</v>
      </c>
      <c r="D413" s="85" t="s">
        <v>142</v>
      </c>
      <c r="E413" s="83" t="s">
        <v>381</v>
      </c>
      <c r="F413" s="83" t="s">
        <v>1637</v>
      </c>
      <c r="G413" s="90"/>
      <c r="H413" s="90">
        <f>5487-598.2+139.7</f>
        <v>5028.5</v>
      </c>
      <c r="I413" s="422">
        <v>5027.9</v>
      </c>
      <c r="J413" s="203"/>
      <c r="K413" s="433">
        <f t="shared" si="36"/>
        <v>99.9880680123297</v>
      </c>
    </row>
    <row r="414" spans="1:11" ht="24">
      <c r="A414" s="87" t="s">
        <v>494</v>
      </c>
      <c r="B414" s="82" t="s">
        <v>1550</v>
      </c>
      <c r="C414" s="85" t="s">
        <v>1788</v>
      </c>
      <c r="D414" s="85" t="s">
        <v>142</v>
      </c>
      <c r="E414" s="83" t="s">
        <v>381</v>
      </c>
      <c r="F414" s="83" t="s">
        <v>1637</v>
      </c>
      <c r="G414" s="90"/>
      <c r="H414" s="90">
        <f>8920.2+810.2+750</f>
        <v>10480.400000000001</v>
      </c>
      <c r="I414" s="422">
        <v>9979.1</v>
      </c>
      <c r="J414" s="203"/>
      <c r="K414" s="433">
        <f t="shared" si="36"/>
        <v>95.21678561886951</v>
      </c>
    </row>
    <row r="415" spans="1:11" ht="15">
      <c r="A415" s="106" t="s">
        <v>971</v>
      </c>
      <c r="B415" s="82" t="s">
        <v>1550</v>
      </c>
      <c r="C415" s="85" t="s">
        <v>1788</v>
      </c>
      <c r="D415" s="85" t="s">
        <v>1598</v>
      </c>
      <c r="E415" s="85"/>
      <c r="F415" s="85"/>
      <c r="G415" s="84">
        <f>G416+G424</f>
        <v>1423</v>
      </c>
      <c r="H415" s="84">
        <f>H416+H424</f>
        <v>1462</v>
      </c>
      <c r="I415" s="426">
        <f>I416+I424</f>
        <v>256.9</v>
      </c>
      <c r="J415" s="203">
        <f>I415/G415*100</f>
        <v>18.053408292340126</v>
      </c>
      <c r="K415" s="433">
        <f t="shared" si="36"/>
        <v>17.571819425444595</v>
      </c>
    </row>
    <row r="416" spans="1:11" ht="24">
      <c r="A416" s="86" t="s">
        <v>55</v>
      </c>
      <c r="B416" s="97" t="s">
        <v>1550</v>
      </c>
      <c r="C416" s="83" t="s">
        <v>1788</v>
      </c>
      <c r="D416" s="83" t="s">
        <v>1598</v>
      </c>
      <c r="E416" s="83" t="s">
        <v>56</v>
      </c>
      <c r="F416" s="83"/>
      <c r="G416" s="84">
        <f>G417+G419+G421</f>
        <v>1423</v>
      </c>
      <c r="H416" s="84">
        <f>H417+H419+H421</f>
        <v>1423</v>
      </c>
      <c r="I416" s="426">
        <f>I417+I419+I421</f>
        <v>256.9</v>
      </c>
      <c r="J416" s="203">
        <f>I416/G416*100</f>
        <v>18.053408292340126</v>
      </c>
      <c r="K416" s="433">
        <f t="shared" si="36"/>
        <v>18.053408292340126</v>
      </c>
    </row>
    <row r="417" spans="1:11" ht="36">
      <c r="A417" s="92" t="s">
        <v>1514</v>
      </c>
      <c r="B417" s="97" t="s">
        <v>1550</v>
      </c>
      <c r="C417" s="83" t="s">
        <v>1788</v>
      </c>
      <c r="D417" s="83" t="s">
        <v>1598</v>
      </c>
      <c r="E417" s="83" t="s">
        <v>1693</v>
      </c>
      <c r="F417" s="83" t="s">
        <v>1071</v>
      </c>
      <c r="G417" s="90">
        <f>G418</f>
        <v>0</v>
      </c>
      <c r="H417" s="90">
        <f>H418</f>
        <v>230</v>
      </c>
      <c r="I417" s="422">
        <f>I418</f>
        <v>214.4</v>
      </c>
      <c r="J417" s="203"/>
      <c r="K417" s="433">
        <f t="shared" si="36"/>
        <v>93.21739130434783</v>
      </c>
    </row>
    <row r="418" spans="1:11" ht="24">
      <c r="A418" s="87" t="s">
        <v>819</v>
      </c>
      <c r="B418" s="97" t="s">
        <v>1550</v>
      </c>
      <c r="C418" s="85" t="s">
        <v>1788</v>
      </c>
      <c r="D418" s="85" t="s">
        <v>1598</v>
      </c>
      <c r="E418" s="83" t="s">
        <v>1693</v>
      </c>
      <c r="F418" s="85" t="s">
        <v>744</v>
      </c>
      <c r="G418" s="90"/>
      <c r="H418" s="90">
        <v>230</v>
      </c>
      <c r="I418" s="422">
        <v>214.4</v>
      </c>
      <c r="J418" s="203"/>
      <c r="K418" s="433">
        <f t="shared" si="36"/>
        <v>93.21739130434783</v>
      </c>
    </row>
    <row r="419" spans="1:11" ht="36">
      <c r="A419" s="92" t="s">
        <v>1796</v>
      </c>
      <c r="B419" s="97" t="s">
        <v>1550</v>
      </c>
      <c r="C419" s="85" t="s">
        <v>1788</v>
      </c>
      <c r="D419" s="85" t="s">
        <v>1598</v>
      </c>
      <c r="E419" s="85" t="s">
        <v>372</v>
      </c>
      <c r="F419" s="85" t="s">
        <v>1071</v>
      </c>
      <c r="G419" s="90">
        <f>G420</f>
        <v>0</v>
      </c>
      <c r="H419" s="90">
        <f>H420</f>
        <v>1193</v>
      </c>
      <c r="I419" s="422">
        <f>I420</f>
        <v>42.5</v>
      </c>
      <c r="J419" s="203"/>
      <c r="K419" s="433">
        <f t="shared" si="36"/>
        <v>3.562447611064543</v>
      </c>
    </row>
    <row r="420" spans="1:11" ht="24">
      <c r="A420" s="87" t="s">
        <v>819</v>
      </c>
      <c r="B420" s="97" t="s">
        <v>1550</v>
      </c>
      <c r="C420" s="85" t="s">
        <v>1788</v>
      </c>
      <c r="D420" s="85" t="s">
        <v>1598</v>
      </c>
      <c r="E420" s="85" t="s">
        <v>372</v>
      </c>
      <c r="F420" s="85" t="s">
        <v>744</v>
      </c>
      <c r="G420" s="90"/>
      <c r="H420" s="90">
        <v>1193</v>
      </c>
      <c r="I420" s="422">
        <v>42.5</v>
      </c>
      <c r="J420" s="203"/>
      <c r="K420" s="433">
        <f t="shared" si="36"/>
        <v>3.562447611064543</v>
      </c>
    </row>
    <row r="421" spans="1:11" ht="24">
      <c r="A421" s="87" t="s">
        <v>69</v>
      </c>
      <c r="B421" s="97" t="s">
        <v>1550</v>
      </c>
      <c r="C421" s="85" t="s">
        <v>1788</v>
      </c>
      <c r="D421" s="85" t="s">
        <v>1598</v>
      </c>
      <c r="E421" s="85" t="s">
        <v>58</v>
      </c>
      <c r="F421" s="85" t="s">
        <v>1071</v>
      </c>
      <c r="G421" s="90">
        <f aca="true" t="shared" si="39" ref="G421:I422">G422</f>
        <v>1423</v>
      </c>
      <c r="H421" s="90">
        <f t="shared" si="39"/>
        <v>0</v>
      </c>
      <c r="I421" s="422">
        <f t="shared" si="39"/>
        <v>0</v>
      </c>
      <c r="J421" s="203"/>
      <c r="K421" s="433"/>
    </row>
    <row r="422" spans="1:11" ht="24">
      <c r="A422" s="87" t="s">
        <v>1355</v>
      </c>
      <c r="B422" s="97" t="s">
        <v>1550</v>
      </c>
      <c r="C422" s="85" t="s">
        <v>1788</v>
      </c>
      <c r="D422" s="85" t="s">
        <v>1598</v>
      </c>
      <c r="E422" s="85" t="s">
        <v>58</v>
      </c>
      <c r="F422" s="85" t="s">
        <v>744</v>
      </c>
      <c r="G422" s="90">
        <f t="shared" si="39"/>
        <v>1423</v>
      </c>
      <c r="H422" s="90">
        <f t="shared" si="39"/>
        <v>0</v>
      </c>
      <c r="I422" s="422">
        <f t="shared" si="39"/>
        <v>0</v>
      </c>
      <c r="J422" s="203"/>
      <c r="K422" s="433"/>
    </row>
    <row r="423" spans="1:11" ht="24">
      <c r="A423" s="87" t="s">
        <v>745</v>
      </c>
      <c r="B423" s="97" t="s">
        <v>1550</v>
      </c>
      <c r="C423" s="85" t="s">
        <v>1788</v>
      </c>
      <c r="D423" s="85" t="s">
        <v>1598</v>
      </c>
      <c r="E423" s="85" t="s">
        <v>58</v>
      </c>
      <c r="F423" s="85" t="s">
        <v>746</v>
      </c>
      <c r="G423" s="90">
        <v>1423</v>
      </c>
      <c r="H423" s="90">
        <v>0</v>
      </c>
      <c r="I423" s="422"/>
      <c r="J423" s="203"/>
      <c r="K423" s="433"/>
    </row>
    <row r="424" spans="1:11" ht="24">
      <c r="A424" s="361" t="s">
        <v>380</v>
      </c>
      <c r="B424" s="97" t="s">
        <v>1550</v>
      </c>
      <c r="C424" s="85" t="s">
        <v>1788</v>
      </c>
      <c r="D424" s="85" t="s">
        <v>1598</v>
      </c>
      <c r="E424" s="85" t="s">
        <v>381</v>
      </c>
      <c r="F424" s="85" t="s">
        <v>1071</v>
      </c>
      <c r="G424" s="90">
        <f aca="true" t="shared" si="40" ref="G424:I425">G425</f>
        <v>0</v>
      </c>
      <c r="H424" s="90">
        <f t="shared" si="40"/>
        <v>39</v>
      </c>
      <c r="I424" s="422">
        <f t="shared" si="40"/>
        <v>0</v>
      </c>
      <c r="J424" s="203"/>
      <c r="K424" s="433"/>
    </row>
    <row r="425" spans="1:11" ht="24">
      <c r="A425" s="87" t="s">
        <v>375</v>
      </c>
      <c r="B425" s="97" t="s">
        <v>1550</v>
      </c>
      <c r="C425" s="85" t="s">
        <v>1788</v>
      </c>
      <c r="D425" s="85" t="s">
        <v>1598</v>
      </c>
      <c r="E425" s="85" t="s">
        <v>381</v>
      </c>
      <c r="F425" s="85" t="s">
        <v>1637</v>
      </c>
      <c r="G425" s="90">
        <f t="shared" si="40"/>
        <v>0</v>
      </c>
      <c r="H425" s="90">
        <f t="shared" si="40"/>
        <v>39</v>
      </c>
      <c r="I425" s="422">
        <f t="shared" si="40"/>
        <v>0</v>
      </c>
      <c r="J425" s="203"/>
      <c r="K425" s="433"/>
    </row>
    <row r="426" spans="1:11" ht="24">
      <c r="A426" s="87" t="s">
        <v>1669</v>
      </c>
      <c r="B426" s="97" t="s">
        <v>1550</v>
      </c>
      <c r="C426" s="85" t="s">
        <v>1788</v>
      </c>
      <c r="D426" s="85" t="s">
        <v>1598</v>
      </c>
      <c r="E426" s="85" t="s">
        <v>381</v>
      </c>
      <c r="F426" s="85" t="s">
        <v>1637</v>
      </c>
      <c r="G426" s="90"/>
      <c r="H426" s="90">
        <v>39</v>
      </c>
      <c r="I426" s="422"/>
      <c r="J426" s="203"/>
      <c r="K426" s="433"/>
    </row>
    <row r="427" spans="1:11" ht="15">
      <c r="A427" s="106" t="s">
        <v>973</v>
      </c>
      <c r="B427" s="82" t="s">
        <v>1550</v>
      </c>
      <c r="C427" s="85" t="s">
        <v>1788</v>
      </c>
      <c r="D427" s="85" t="s">
        <v>1603</v>
      </c>
      <c r="E427" s="85"/>
      <c r="F427" s="85"/>
      <c r="G427" s="84">
        <f>G428+G439+G442+G446</f>
        <v>114642.5</v>
      </c>
      <c r="H427" s="84">
        <f>H428+H439+H442+H446</f>
        <v>114715</v>
      </c>
      <c r="I427" s="426">
        <f>I428+I439+I442+I446</f>
        <v>113270.7</v>
      </c>
      <c r="J427" s="203">
        <f>I427/G427*100</f>
        <v>98.80341060252525</v>
      </c>
      <c r="K427" s="433">
        <f t="shared" si="36"/>
        <v>98.74096674366909</v>
      </c>
    </row>
    <row r="428" spans="1:11" ht="24">
      <c r="A428" s="86" t="s">
        <v>69</v>
      </c>
      <c r="B428" s="82" t="s">
        <v>1550</v>
      </c>
      <c r="C428" s="85" t="s">
        <v>1788</v>
      </c>
      <c r="D428" s="85" t="s">
        <v>1603</v>
      </c>
      <c r="E428" s="85" t="s">
        <v>70</v>
      </c>
      <c r="F428" s="85"/>
      <c r="G428" s="90">
        <f>G429+G431+G433</f>
        <v>108032.5</v>
      </c>
      <c r="H428" s="90">
        <f>H429+H431+H433</f>
        <v>108573</v>
      </c>
      <c r="I428" s="422">
        <f>I429+I431+I433</f>
        <v>108196.4</v>
      </c>
      <c r="J428" s="203">
        <f>I428/G428*100</f>
        <v>100.15171360470228</v>
      </c>
      <c r="K428" s="433">
        <f t="shared" si="36"/>
        <v>99.6531365993387</v>
      </c>
    </row>
    <row r="429" spans="1:11" ht="24">
      <c r="A429" s="92" t="s">
        <v>1798</v>
      </c>
      <c r="B429" s="82" t="s">
        <v>1550</v>
      </c>
      <c r="C429" s="85" t="s">
        <v>1788</v>
      </c>
      <c r="D429" s="85" t="s">
        <v>1603</v>
      </c>
      <c r="E429" s="85" t="s">
        <v>1799</v>
      </c>
      <c r="F429" s="85" t="s">
        <v>1071</v>
      </c>
      <c r="G429" s="90">
        <f>G430</f>
        <v>0</v>
      </c>
      <c r="H429" s="90">
        <f>H430</f>
        <v>106253</v>
      </c>
      <c r="I429" s="422">
        <f>I430</f>
        <v>105950</v>
      </c>
      <c r="J429" s="203"/>
      <c r="K429" s="433">
        <f t="shared" si="36"/>
        <v>99.71483158122594</v>
      </c>
    </row>
    <row r="430" spans="1:11" ht="25.5" customHeight="1">
      <c r="A430" s="87" t="s">
        <v>819</v>
      </c>
      <c r="B430" s="82" t="s">
        <v>1550</v>
      </c>
      <c r="C430" s="85" t="s">
        <v>1788</v>
      </c>
      <c r="D430" s="85" t="s">
        <v>1603</v>
      </c>
      <c r="E430" s="85" t="s">
        <v>1799</v>
      </c>
      <c r="F430" s="85" t="s">
        <v>744</v>
      </c>
      <c r="G430" s="90"/>
      <c r="H430" s="90">
        <v>106253</v>
      </c>
      <c r="I430" s="422">
        <v>105950</v>
      </c>
      <c r="J430" s="203"/>
      <c r="K430" s="433">
        <f t="shared" si="36"/>
        <v>99.71483158122594</v>
      </c>
    </row>
    <row r="431" spans="1:11" ht="18.75" customHeight="1">
      <c r="A431" s="92" t="s">
        <v>1800</v>
      </c>
      <c r="B431" s="82" t="s">
        <v>1550</v>
      </c>
      <c r="C431" s="85" t="s">
        <v>1788</v>
      </c>
      <c r="D431" s="85" t="s">
        <v>1603</v>
      </c>
      <c r="E431" s="85" t="s">
        <v>1801</v>
      </c>
      <c r="F431" s="85" t="s">
        <v>1071</v>
      </c>
      <c r="G431" s="90">
        <f>G432</f>
        <v>0</v>
      </c>
      <c r="H431" s="90">
        <f>H432</f>
        <v>1795</v>
      </c>
      <c r="I431" s="422">
        <f>I432</f>
        <v>1723.4</v>
      </c>
      <c r="J431" s="203"/>
      <c r="K431" s="433">
        <f t="shared" si="36"/>
        <v>96.01114206128133</v>
      </c>
    </row>
    <row r="432" spans="1:11" ht="24">
      <c r="A432" s="87" t="s">
        <v>819</v>
      </c>
      <c r="B432" s="82" t="s">
        <v>1550</v>
      </c>
      <c r="C432" s="85" t="s">
        <v>1788</v>
      </c>
      <c r="D432" s="85" t="s">
        <v>1603</v>
      </c>
      <c r="E432" s="85" t="s">
        <v>1801</v>
      </c>
      <c r="F432" s="85" t="s">
        <v>744</v>
      </c>
      <c r="G432" s="90"/>
      <c r="H432" s="90">
        <v>1795</v>
      </c>
      <c r="I432" s="422">
        <v>1723.4</v>
      </c>
      <c r="J432" s="203"/>
      <c r="K432" s="433">
        <f t="shared" si="36"/>
        <v>96.01114206128133</v>
      </c>
    </row>
    <row r="433" spans="1:11" ht="24">
      <c r="A433" s="87" t="s">
        <v>661</v>
      </c>
      <c r="B433" s="82" t="s">
        <v>1550</v>
      </c>
      <c r="C433" s="85" t="s">
        <v>1788</v>
      </c>
      <c r="D433" s="85" t="s">
        <v>1603</v>
      </c>
      <c r="E433" s="85" t="s">
        <v>71</v>
      </c>
      <c r="F433" s="85" t="s">
        <v>1071</v>
      </c>
      <c r="G433" s="90">
        <f>G434</f>
        <v>108032.5</v>
      </c>
      <c r="H433" s="90">
        <f>H434</f>
        <v>525</v>
      </c>
      <c r="I433" s="422">
        <f>I434</f>
        <v>523</v>
      </c>
      <c r="J433" s="203">
        <f>I433/G433*100</f>
        <v>0.48411357693286744</v>
      </c>
      <c r="K433" s="433">
        <f t="shared" si="36"/>
        <v>99.61904761904762</v>
      </c>
    </row>
    <row r="434" spans="1:11" ht="24">
      <c r="A434" s="87" t="s">
        <v>819</v>
      </c>
      <c r="B434" s="82" t="s">
        <v>1550</v>
      </c>
      <c r="C434" s="85" t="s">
        <v>1788</v>
      </c>
      <c r="D434" s="85" t="s">
        <v>1603</v>
      </c>
      <c r="E434" s="85" t="s">
        <v>71</v>
      </c>
      <c r="F434" s="85" t="s">
        <v>744</v>
      </c>
      <c r="G434" s="90">
        <f>G435+G436</f>
        <v>108032.5</v>
      </c>
      <c r="H434" s="90">
        <f>H435+H436</f>
        <v>525</v>
      </c>
      <c r="I434" s="422">
        <f>I435+I436</f>
        <v>523</v>
      </c>
      <c r="J434" s="203">
        <f>I434/G434*100</f>
        <v>0.48411357693286744</v>
      </c>
      <c r="K434" s="433">
        <f t="shared" si="36"/>
        <v>99.61904761904762</v>
      </c>
    </row>
    <row r="435" spans="1:11" ht="24">
      <c r="A435" s="87" t="s">
        <v>745</v>
      </c>
      <c r="B435" s="82" t="s">
        <v>1550</v>
      </c>
      <c r="C435" s="85" t="s">
        <v>1788</v>
      </c>
      <c r="D435" s="85" t="s">
        <v>1603</v>
      </c>
      <c r="E435" s="85" t="s">
        <v>71</v>
      </c>
      <c r="F435" s="85" t="s">
        <v>746</v>
      </c>
      <c r="G435" s="90">
        <v>107746</v>
      </c>
      <c r="H435" s="90">
        <v>100</v>
      </c>
      <c r="I435" s="422">
        <v>98</v>
      </c>
      <c r="J435" s="203">
        <f>I435/G435*100</f>
        <v>0.09095465260891356</v>
      </c>
      <c r="K435" s="433">
        <f t="shared" si="36"/>
        <v>98</v>
      </c>
    </row>
    <row r="436" spans="1:11" ht="24">
      <c r="A436" s="87" t="s">
        <v>375</v>
      </c>
      <c r="B436" s="82" t="s">
        <v>1550</v>
      </c>
      <c r="C436" s="85" t="s">
        <v>1788</v>
      </c>
      <c r="D436" s="85" t="s">
        <v>1603</v>
      </c>
      <c r="E436" s="85" t="s">
        <v>71</v>
      </c>
      <c r="F436" s="85" t="s">
        <v>1637</v>
      </c>
      <c r="G436" s="90">
        <f>G437+G438</f>
        <v>286.5</v>
      </c>
      <c r="H436" s="90">
        <f>H437+H438</f>
        <v>425</v>
      </c>
      <c r="I436" s="422">
        <f>I437+I438</f>
        <v>425</v>
      </c>
      <c r="J436" s="203">
        <f>I436/G436*100</f>
        <v>148.34205933682375</v>
      </c>
      <c r="K436" s="433">
        <f t="shared" si="36"/>
        <v>100</v>
      </c>
    </row>
    <row r="437" spans="1:11" ht="48">
      <c r="A437" s="87" t="s">
        <v>1802</v>
      </c>
      <c r="B437" s="82" t="s">
        <v>1550</v>
      </c>
      <c r="C437" s="85" t="s">
        <v>1788</v>
      </c>
      <c r="D437" s="85" t="s">
        <v>1603</v>
      </c>
      <c r="E437" s="85" t="s">
        <v>71</v>
      </c>
      <c r="F437" s="85" t="s">
        <v>1637</v>
      </c>
      <c r="G437" s="90"/>
      <c r="H437" s="90">
        <v>425</v>
      </c>
      <c r="I437" s="422">
        <v>425</v>
      </c>
      <c r="J437" s="203"/>
      <c r="K437" s="433">
        <f t="shared" si="36"/>
        <v>100</v>
      </c>
    </row>
    <row r="438" spans="1:11" ht="36">
      <c r="A438" s="87" t="s">
        <v>1803</v>
      </c>
      <c r="B438" s="82" t="s">
        <v>1550</v>
      </c>
      <c r="C438" s="85" t="s">
        <v>1788</v>
      </c>
      <c r="D438" s="85" t="s">
        <v>1603</v>
      </c>
      <c r="E438" s="85" t="s">
        <v>1804</v>
      </c>
      <c r="F438" s="85" t="s">
        <v>1637</v>
      </c>
      <c r="G438" s="90">
        <v>286.5</v>
      </c>
      <c r="H438" s="90">
        <f>286.5-286.5</f>
        <v>0</v>
      </c>
      <c r="I438" s="422">
        <f>286.5-286.5</f>
        <v>0</v>
      </c>
      <c r="J438" s="203">
        <f aca="true" t="shared" si="41" ref="J438:J448">I438/G438*100</f>
        <v>0</v>
      </c>
      <c r="K438" s="433"/>
    </row>
    <row r="439" spans="1:11" ht="15.75" hidden="1">
      <c r="A439" s="87"/>
      <c r="B439" s="82"/>
      <c r="C439" s="85"/>
      <c r="D439" s="85"/>
      <c r="E439" s="85"/>
      <c r="F439" s="85"/>
      <c r="G439" s="90"/>
      <c r="H439" s="90"/>
      <c r="I439" s="422"/>
      <c r="J439" s="203" t="e">
        <f t="shared" si="41"/>
        <v>#DIV/0!</v>
      </c>
      <c r="K439" s="433" t="e">
        <f t="shared" si="36"/>
        <v>#DIV/0!</v>
      </c>
    </row>
    <row r="440" spans="1:11" ht="22.5" customHeight="1" hidden="1">
      <c r="A440" s="87"/>
      <c r="B440" s="82"/>
      <c r="C440" s="85"/>
      <c r="D440" s="85"/>
      <c r="E440" s="85"/>
      <c r="F440" s="85"/>
      <c r="G440" s="90"/>
      <c r="H440" s="90"/>
      <c r="I440" s="422"/>
      <c r="J440" s="203" t="e">
        <f t="shared" si="41"/>
        <v>#DIV/0!</v>
      </c>
      <c r="K440" s="433" t="e">
        <f t="shared" si="36"/>
        <v>#DIV/0!</v>
      </c>
    </row>
    <row r="441" spans="1:11" ht="15.75" hidden="1">
      <c r="A441" s="87"/>
      <c r="B441" s="82"/>
      <c r="C441" s="85"/>
      <c r="D441" s="85"/>
      <c r="E441" s="85"/>
      <c r="F441" s="85"/>
      <c r="G441" s="90"/>
      <c r="H441" s="90"/>
      <c r="I441" s="422"/>
      <c r="J441" s="203" t="e">
        <f t="shared" si="41"/>
        <v>#DIV/0!</v>
      </c>
      <c r="K441" s="433" t="e">
        <f t="shared" si="36"/>
        <v>#DIV/0!</v>
      </c>
    </row>
    <row r="442" spans="1:11" ht="21" customHeight="1">
      <c r="A442" s="370" t="s">
        <v>848</v>
      </c>
      <c r="B442" s="82" t="s">
        <v>1550</v>
      </c>
      <c r="C442" s="85" t="s">
        <v>1788</v>
      </c>
      <c r="D442" s="85" t="s">
        <v>1603</v>
      </c>
      <c r="E442" s="85" t="s">
        <v>849</v>
      </c>
      <c r="F442" s="85"/>
      <c r="G442" s="90">
        <f aca="true" t="shared" si="42" ref="G442:I443">G443</f>
        <v>6185</v>
      </c>
      <c r="H442" s="90">
        <f t="shared" si="42"/>
        <v>5804</v>
      </c>
      <c r="I442" s="422">
        <f t="shared" si="42"/>
        <v>4742.6</v>
      </c>
      <c r="J442" s="203">
        <f t="shared" si="41"/>
        <v>76.67906224737268</v>
      </c>
      <c r="K442" s="433">
        <f t="shared" si="36"/>
        <v>81.71261199172984</v>
      </c>
    </row>
    <row r="443" spans="1:11" ht="18.75" customHeight="1">
      <c r="A443" s="87" t="s">
        <v>1511</v>
      </c>
      <c r="B443" s="82" t="s">
        <v>1550</v>
      </c>
      <c r="C443" s="85" t="s">
        <v>1788</v>
      </c>
      <c r="D443" s="85" t="s">
        <v>1603</v>
      </c>
      <c r="E443" s="85" t="s">
        <v>68</v>
      </c>
      <c r="F443" s="85" t="s">
        <v>1071</v>
      </c>
      <c r="G443" s="90">
        <f t="shared" si="42"/>
        <v>6185</v>
      </c>
      <c r="H443" s="90">
        <f t="shared" si="42"/>
        <v>5804</v>
      </c>
      <c r="I443" s="422">
        <f t="shared" si="42"/>
        <v>4742.6</v>
      </c>
      <c r="J443" s="203">
        <f t="shared" si="41"/>
        <v>76.67906224737268</v>
      </c>
      <c r="K443" s="433">
        <f t="shared" si="36"/>
        <v>81.71261199172984</v>
      </c>
    </row>
    <row r="444" spans="1:11" ht="24">
      <c r="A444" s="87" t="s">
        <v>819</v>
      </c>
      <c r="B444" s="82" t="s">
        <v>1550</v>
      </c>
      <c r="C444" s="85" t="s">
        <v>1788</v>
      </c>
      <c r="D444" s="85" t="s">
        <v>1603</v>
      </c>
      <c r="E444" s="85" t="s">
        <v>68</v>
      </c>
      <c r="F444" s="85" t="s">
        <v>744</v>
      </c>
      <c r="G444" s="90">
        <f>G445</f>
        <v>6185</v>
      </c>
      <c r="H444" s="90">
        <v>5804</v>
      </c>
      <c r="I444" s="422">
        <v>4742.6</v>
      </c>
      <c r="J444" s="203">
        <f t="shared" si="41"/>
        <v>76.67906224737268</v>
      </c>
      <c r="K444" s="433">
        <f t="shared" si="36"/>
        <v>81.71261199172984</v>
      </c>
    </row>
    <row r="445" spans="1:11" ht="24">
      <c r="A445" s="87" t="s">
        <v>745</v>
      </c>
      <c r="B445" s="82" t="s">
        <v>1550</v>
      </c>
      <c r="C445" s="85" t="s">
        <v>1788</v>
      </c>
      <c r="D445" s="85" t="s">
        <v>1603</v>
      </c>
      <c r="E445" s="85" t="s">
        <v>68</v>
      </c>
      <c r="F445" s="85" t="s">
        <v>746</v>
      </c>
      <c r="G445" s="90">
        <v>6185</v>
      </c>
      <c r="H445" s="90"/>
      <c r="I445" s="422"/>
      <c r="J445" s="203">
        <f t="shared" si="41"/>
        <v>0</v>
      </c>
      <c r="K445" s="433"/>
    </row>
    <row r="446" spans="1:11" ht="24">
      <c r="A446" s="86" t="s">
        <v>909</v>
      </c>
      <c r="B446" s="82" t="s">
        <v>1550</v>
      </c>
      <c r="C446" s="85" t="s">
        <v>1788</v>
      </c>
      <c r="D446" s="85" t="s">
        <v>1603</v>
      </c>
      <c r="E446" s="85" t="s">
        <v>910</v>
      </c>
      <c r="F446" s="85"/>
      <c r="G446" s="90">
        <f>G447+G449</f>
        <v>425</v>
      </c>
      <c r="H446" s="90">
        <f>H447+H449</f>
        <v>338</v>
      </c>
      <c r="I446" s="422">
        <f>I447+I449</f>
        <v>331.70000000000005</v>
      </c>
      <c r="J446" s="203">
        <f t="shared" si="41"/>
        <v>78.04705882352943</v>
      </c>
      <c r="K446" s="433">
        <f t="shared" si="36"/>
        <v>98.13609467455623</v>
      </c>
    </row>
    <row r="447" spans="1:11" ht="24">
      <c r="A447" s="87" t="s">
        <v>743</v>
      </c>
      <c r="B447" s="82" t="s">
        <v>1550</v>
      </c>
      <c r="C447" s="85" t="s">
        <v>1788</v>
      </c>
      <c r="D447" s="85" t="s">
        <v>1603</v>
      </c>
      <c r="E447" s="83" t="s">
        <v>741</v>
      </c>
      <c r="F447" s="83" t="s">
        <v>744</v>
      </c>
      <c r="G447" s="90">
        <f>G448</f>
        <v>425</v>
      </c>
      <c r="H447" s="90"/>
      <c r="I447" s="422"/>
      <c r="J447" s="203">
        <f t="shared" si="41"/>
        <v>0</v>
      </c>
      <c r="K447" s="433"/>
    </row>
    <row r="448" spans="1:11" ht="24">
      <c r="A448" s="87" t="s">
        <v>745</v>
      </c>
      <c r="B448" s="82" t="s">
        <v>1550</v>
      </c>
      <c r="C448" s="85" t="s">
        <v>1788</v>
      </c>
      <c r="D448" s="85" t="s">
        <v>1603</v>
      </c>
      <c r="E448" s="83" t="s">
        <v>741</v>
      </c>
      <c r="F448" s="83" t="s">
        <v>746</v>
      </c>
      <c r="G448" s="90">
        <v>425</v>
      </c>
      <c r="H448" s="90"/>
      <c r="I448" s="422"/>
      <c r="J448" s="203">
        <f t="shared" si="41"/>
        <v>0</v>
      </c>
      <c r="K448" s="433"/>
    </row>
    <row r="449" spans="1:11" ht="24">
      <c r="A449" s="361" t="s">
        <v>380</v>
      </c>
      <c r="B449" s="82" t="s">
        <v>1550</v>
      </c>
      <c r="C449" s="85" t="s">
        <v>1788</v>
      </c>
      <c r="D449" s="85" t="s">
        <v>1603</v>
      </c>
      <c r="E449" s="83" t="s">
        <v>381</v>
      </c>
      <c r="F449" s="83" t="s">
        <v>1071</v>
      </c>
      <c r="G449" s="90">
        <f>G450</f>
        <v>0</v>
      </c>
      <c r="H449" s="90">
        <f>H450</f>
        <v>338</v>
      </c>
      <c r="I449" s="422">
        <f>I450</f>
        <v>331.70000000000005</v>
      </c>
      <c r="J449" s="203"/>
      <c r="K449" s="433">
        <f t="shared" si="36"/>
        <v>98.13609467455623</v>
      </c>
    </row>
    <row r="450" spans="1:11" ht="24">
      <c r="A450" s="87" t="s">
        <v>743</v>
      </c>
      <c r="B450" s="82" t="s">
        <v>1550</v>
      </c>
      <c r="C450" s="85" t="s">
        <v>1788</v>
      </c>
      <c r="D450" s="85" t="s">
        <v>1603</v>
      </c>
      <c r="E450" s="83" t="s">
        <v>381</v>
      </c>
      <c r="F450" s="83" t="s">
        <v>744</v>
      </c>
      <c r="G450" s="90"/>
      <c r="H450" s="90">
        <f>H452</f>
        <v>338</v>
      </c>
      <c r="I450" s="422">
        <f>I452</f>
        <v>331.70000000000005</v>
      </c>
      <c r="J450" s="203"/>
      <c r="K450" s="433">
        <f t="shared" si="36"/>
        <v>98.13609467455623</v>
      </c>
    </row>
    <row r="451" spans="1:11" ht="24">
      <c r="A451" s="87" t="s">
        <v>745</v>
      </c>
      <c r="B451" s="82" t="s">
        <v>1550</v>
      </c>
      <c r="C451" s="85" t="s">
        <v>1788</v>
      </c>
      <c r="D451" s="85" t="s">
        <v>1603</v>
      </c>
      <c r="E451" s="83" t="s">
        <v>381</v>
      </c>
      <c r="F451" s="83" t="s">
        <v>746</v>
      </c>
      <c r="G451" s="90">
        <v>0</v>
      </c>
      <c r="H451" s="90">
        <v>0</v>
      </c>
      <c r="I451" s="422"/>
      <c r="J451" s="203"/>
      <c r="K451" s="433"/>
    </row>
    <row r="452" spans="1:11" ht="24">
      <c r="A452" s="87" t="s">
        <v>375</v>
      </c>
      <c r="B452" s="82" t="s">
        <v>1550</v>
      </c>
      <c r="C452" s="85" t="s">
        <v>1788</v>
      </c>
      <c r="D452" s="85" t="s">
        <v>1603</v>
      </c>
      <c r="E452" s="83" t="s">
        <v>381</v>
      </c>
      <c r="F452" s="83" t="s">
        <v>1637</v>
      </c>
      <c r="G452" s="90">
        <f>G453+G454+G455+G456</f>
        <v>0</v>
      </c>
      <c r="H452" s="90">
        <f>H453+H454+H455+H456</f>
        <v>338</v>
      </c>
      <c r="I452" s="422">
        <f>I453+I454+I455+I456</f>
        <v>331.70000000000005</v>
      </c>
      <c r="J452" s="203"/>
      <c r="K452" s="433">
        <f t="shared" si="36"/>
        <v>98.13609467455623</v>
      </c>
    </row>
    <row r="453" spans="1:11" ht="36">
      <c r="A453" s="87" t="s">
        <v>383</v>
      </c>
      <c r="B453" s="82" t="s">
        <v>1550</v>
      </c>
      <c r="C453" s="85" t="s">
        <v>1788</v>
      </c>
      <c r="D453" s="85" t="s">
        <v>1603</v>
      </c>
      <c r="E453" s="83" t="s">
        <v>381</v>
      </c>
      <c r="F453" s="83" t="s">
        <v>1637</v>
      </c>
      <c r="G453" s="90"/>
      <c r="H453" s="90">
        <f>42+98.8</f>
        <v>140.8</v>
      </c>
      <c r="I453" s="422">
        <v>135.6</v>
      </c>
      <c r="J453" s="203"/>
      <c r="K453" s="433">
        <f t="shared" si="36"/>
        <v>96.30681818181816</v>
      </c>
    </row>
    <row r="454" spans="1:11" ht="48">
      <c r="A454" s="87" t="s">
        <v>1805</v>
      </c>
      <c r="B454" s="82" t="s">
        <v>1550</v>
      </c>
      <c r="C454" s="85" t="s">
        <v>1788</v>
      </c>
      <c r="D454" s="85" t="s">
        <v>1603</v>
      </c>
      <c r="E454" s="83" t="s">
        <v>381</v>
      </c>
      <c r="F454" s="83" t="s">
        <v>1637</v>
      </c>
      <c r="G454" s="90"/>
      <c r="H454" s="90">
        <f>286.5-225.4</f>
        <v>61.099999999999994</v>
      </c>
      <c r="I454" s="422">
        <v>61.1</v>
      </c>
      <c r="J454" s="203"/>
      <c r="K454" s="433">
        <f t="shared" si="36"/>
        <v>100.00000000000003</v>
      </c>
    </row>
    <row r="455" spans="1:11" ht="36">
      <c r="A455" s="87" t="s">
        <v>1806</v>
      </c>
      <c r="B455" s="82" t="s">
        <v>1550</v>
      </c>
      <c r="C455" s="85" t="s">
        <v>1788</v>
      </c>
      <c r="D455" s="85" t="s">
        <v>1603</v>
      </c>
      <c r="E455" s="83" t="s">
        <v>381</v>
      </c>
      <c r="F455" s="83" t="s">
        <v>1637</v>
      </c>
      <c r="G455" s="90"/>
      <c r="H455" s="90">
        <f>450-350</f>
        <v>100</v>
      </c>
      <c r="I455" s="422">
        <v>98.9</v>
      </c>
      <c r="J455" s="203"/>
      <c r="K455" s="433">
        <f t="shared" si="36"/>
        <v>98.9</v>
      </c>
    </row>
    <row r="456" spans="1:11" ht="24">
      <c r="A456" s="87" t="s">
        <v>1807</v>
      </c>
      <c r="B456" s="82" t="s">
        <v>1550</v>
      </c>
      <c r="C456" s="85" t="s">
        <v>1788</v>
      </c>
      <c r="D456" s="85" t="s">
        <v>1603</v>
      </c>
      <c r="E456" s="83" t="s">
        <v>381</v>
      </c>
      <c r="F456" s="83" t="s">
        <v>1637</v>
      </c>
      <c r="G456" s="90"/>
      <c r="H456" s="90">
        <f>100-63.9</f>
        <v>36.1</v>
      </c>
      <c r="I456" s="422">
        <v>36.1</v>
      </c>
      <c r="J456" s="203"/>
      <c r="K456" s="433">
        <f t="shared" si="36"/>
        <v>100</v>
      </c>
    </row>
    <row r="457" spans="1:11" ht="24">
      <c r="A457" s="106" t="s">
        <v>975</v>
      </c>
      <c r="B457" s="82" t="s">
        <v>1550</v>
      </c>
      <c r="C457" s="85" t="s">
        <v>1788</v>
      </c>
      <c r="D457" s="85" t="s">
        <v>583</v>
      </c>
      <c r="E457" s="85"/>
      <c r="F457" s="85"/>
      <c r="G457" s="90">
        <f>G458+G468</f>
        <v>9615.3</v>
      </c>
      <c r="H457" s="90">
        <f>H458+H468</f>
        <v>9798.5</v>
      </c>
      <c r="I457" s="422">
        <f>I458+I468</f>
        <v>8468</v>
      </c>
      <c r="J457" s="203">
        <f>I457/G457*100</f>
        <v>88.06797499817999</v>
      </c>
      <c r="K457" s="433">
        <f t="shared" si="36"/>
        <v>86.42139102923917</v>
      </c>
    </row>
    <row r="458" spans="1:11" ht="24">
      <c r="A458" s="86" t="s">
        <v>1670</v>
      </c>
      <c r="B458" s="82" t="s">
        <v>1550</v>
      </c>
      <c r="C458" s="85" t="s">
        <v>1788</v>
      </c>
      <c r="D458" s="85" t="s">
        <v>583</v>
      </c>
      <c r="E458" s="85" t="s">
        <v>73</v>
      </c>
      <c r="F458" s="85" t="s">
        <v>1071</v>
      </c>
      <c r="G458" s="90">
        <f>G459+G461+G463</f>
        <v>9615.3</v>
      </c>
      <c r="H458" s="90">
        <f>H459+H461+H463</f>
        <v>8651</v>
      </c>
      <c r="I458" s="422">
        <f>I459+I461+I463</f>
        <v>7320.7</v>
      </c>
      <c r="J458" s="203">
        <f>I458/G458*100</f>
        <v>76.13594999635997</v>
      </c>
      <c r="K458" s="433">
        <f aca="true" t="shared" si="43" ref="K458:K484">I458/H458*100</f>
        <v>84.62258698416369</v>
      </c>
    </row>
    <row r="459" spans="1:11" ht="36">
      <c r="A459" s="92" t="s">
        <v>1808</v>
      </c>
      <c r="B459" s="82" t="s">
        <v>1550</v>
      </c>
      <c r="C459" s="85" t="s">
        <v>1788</v>
      </c>
      <c r="D459" s="85" t="s">
        <v>583</v>
      </c>
      <c r="E459" s="85" t="s">
        <v>1809</v>
      </c>
      <c r="F459" s="85" t="s">
        <v>1071</v>
      </c>
      <c r="G459" s="90">
        <f>G460</f>
        <v>0</v>
      </c>
      <c r="H459" s="90">
        <f>H460</f>
        <v>7668</v>
      </c>
      <c r="I459" s="422">
        <f>I460</f>
        <v>7235.9</v>
      </c>
      <c r="J459" s="203"/>
      <c r="K459" s="433">
        <f t="shared" si="43"/>
        <v>94.36489306207616</v>
      </c>
    </row>
    <row r="460" spans="1:11" ht="24">
      <c r="A460" s="87" t="s">
        <v>819</v>
      </c>
      <c r="B460" s="82" t="s">
        <v>1550</v>
      </c>
      <c r="C460" s="85" t="s">
        <v>1788</v>
      </c>
      <c r="D460" s="85" t="s">
        <v>583</v>
      </c>
      <c r="E460" s="85" t="s">
        <v>1809</v>
      </c>
      <c r="F460" s="85" t="s">
        <v>744</v>
      </c>
      <c r="G460" s="90"/>
      <c r="H460" s="90">
        <v>7668</v>
      </c>
      <c r="I460" s="422">
        <v>7235.9</v>
      </c>
      <c r="J460" s="203"/>
      <c r="K460" s="433">
        <f t="shared" si="43"/>
        <v>94.36489306207616</v>
      </c>
    </row>
    <row r="461" spans="1:11" ht="36">
      <c r="A461" s="92" t="s">
        <v>1810</v>
      </c>
      <c r="B461" s="82" t="s">
        <v>1550</v>
      </c>
      <c r="C461" s="85" t="s">
        <v>1788</v>
      </c>
      <c r="D461" s="85" t="s">
        <v>583</v>
      </c>
      <c r="E461" s="85" t="s">
        <v>1811</v>
      </c>
      <c r="F461" s="85" t="s">
        <v>1071</v>
      </c>
      <c r="G461" s="90">
        <f>G462</f>
        <v>0</v>
      </c>
      <c r="H461" s="90">
        <f>H462</f>
        <v>977</v>
      </c>
      <c r="I461" s="422">
        <f>I462</f>
        <v>78.8</v>
      </c>
      <c r="J461" s="203"/>
      <c r="K461" s="433">
        <f t="shared" si="43"/>
        <v>8.065506653019447</v>
      </c>
    </row>
    <row r="462" spans="1:11" ht="24">
      <c r="A462" s="87" t="s">
        <v>819</v>
      </c>
      <c r="B462" s="82" t="s">
        <v>1550</v>
      </c>
      <c r="C462" s="85" t="s">
        <v>1788</v>
      </c>
      <c r="D462" s="85" t="s">
        <v>583</v>
      </c>
      <c r="E462" s="85" t="s">
        <v>1811</v>
      </c>
      <c r="F462" s="85" t="s">
        <v>744</v>
      </c>
      <c r="G462" s="90"/>
      <c r="H462" s="90">
        <v>977</v>
      </c>
      <c r="I462" s="422">
        <v>78.8</v>
      </c>
      <c r="J462" s="203"/>
      <c r="K462" s="433">
        <f t="shared" si="43"/>
        <v>8.065506653019447</v>
      </c>
    </row>
    <row r="463" spans="1:11" ht="24">
      <c r="A463" s="92" t="s">
        <v>661</v>
      </c>
      <c r="B463" s="82" t="s">
        <v>1550</v>
      </c>
      <c r="C463" s="85" t="s">
        <v>1788</v>
      </c>
      <c r="D463" s="85" t="s">
        <v>583</v>
      </c>
      <c r="E463" s="85" t="s">
        <v>74</v>
      </c>
      <c r="F463" s="85" t="s">
        <v>1071</v>
      </c>
      <c r="G463" s="90">
        <f>G464+G466</f>
        <v>9615.3</v>
      </c>
      <c r="H463" s="90">
        <f>H464</f>
        <v>6</v>
      </c>
      <c r="I463" s="422">
        <f>I464</f>
        <v>6</v>
      </c>
      <c r="J463" s="203">
        <f>I463/G463*100</f>
        <v>0.062400549124832304</v>
      </c>
      <c r="K463" s="433">
        <f t="shared" si="43"/>
        <v>100</v>
      </c>
    </row>
    <row r="464" spans="1:11" ht="24">
      <c r="A464" s="87" t="s">
        <v>819</v>
      </c>
      <c r="B464" s="82" t="s">
        <v>1550</v>
      </c>
      <c r="C464" s="85" t="s">
        <v>1788</v>
      </c>
      <c r="D464" s="85" t="s">
        <v>583</v>
      </c>
      <c r="E464" s="85" t="s">
        <v>74</v>
      </c>
      <c r="F464" s="85" t="s">
        <v>744</v>
      </c>
      <c r="G464" s="90">
        <f>G465</f>
        <v>8425</v>
      </c>
      <c r="H464" s="90">
        <f>H465</f>
        <v>6</v>
      </c>
      <c r="I464" s="422">
        <f>I465</f>
        <v>6</v>
      </c>
      <c r="J464" s="203">
        <f>I464/G464*100</f>
        <v>0.0712166172106825</v>
      </c>
      <c r="K464" s="433">
        <f t="shared" si="43"/>
        <v>100</v>
      </c>
    </row>
    <row r="465" spans="1:11" ht="24">
      <c r="A465" s="87" t="s">
        <v>745</v>
      </c>
      <c r="B465" s="82" t="s">
        <v>1550</v>
      </c>
      <c r="C465" s="85" t="s">
        <v>1788</v>
      </c>
      <c r="D465" s="85" t="s">
        <v>583</v>
      </c>
      <c r="E465" s="85" t="s">
        <v>74</v>
      </c>
      <c r="F465" s="85" t="s">
        <v>746</v>
      </c>
      <c r="G465" s="90">
        <v>8425</v>
      </c>
      <c r="H465" s="90">
        <v>6</v>
      </c>
      <c r="I465" s="422">
        <v>6</v>
      </c>
      <c r="J465" s="203">
        <f>I465/G465*100</f>
        <v>0.0712166172106825</v>
      </c>
      <c r="K465" s="433">
        <f t="shared" si="43"/>
        <v>100</v>
      </c>
    </row>
    <row r="466" spans="1:11" ht="24">
      <c r="A466" s="87" t="s">
        <v>375</v>
      </c>
      <c r="B466" s="82" t="s">
        <v>1550</v>
      </c>
      <c r="C466" s="85" t="s">
        <v>1788</v>
      </c>
      <c r="D466" s="85" t="s">
        <v>583</v>
      </c>
      <c r="E466" s="85" t="s">
        <v>1814</v>
      </c>
      <c r="F466" s="85" t="s">
        <v>1637</v>
      </c>
      <c r="G466" s="90">
        <f>G467</f>
        <v>1190.3</v>
      </c>
      <c r="H466" s="90"/>
      <c r="I466" s="422"/>
      <c r="J466" s="203">
        <f>I466/G466*100</f>
        <v>0</v>
      </c>
      <c r="K466" s="433"/>
    </row>
    <row r="467" spans="1:11" ht="24">
      <c r="A467" s="87" t="s">
        <v>1813</v>
      </c>
      <c r="B467" s="82" t="s">
        <v>1550</v>
      </c>
      <c r="C467" s="85" t="s">
        <v>1788</v>
      </c>
      <c r="D467" s="85" t="s">
        <v>583</v>
      </c>
      <c r="E467" s="85" t="s">
        <v>1814</v>
      </c>
      <c r="F467" s="85" t="s">
        <v>1637</v>
      </c>
      <c r="G467" s="90">
        <v>1190.3</v>
      </c>
      <c r="H467" s="90"/>
      <c r="I467" s="422"/>
      <c r="J467" s="203">
        <f>I467/G467*100</f>
        <v>0</v>
      </c>
      <c r="K467" s="433"/>
    </row>
    <row r="468" spans="1:11" ht="24">
      <c r="A468" s="361" t="s">
        <v>380</v>
      </c>
      <c r="B468" s="82" t="s">
        <v>1550</v>
      </c>
      <c r="C468" s="85" t="s">
        <v>1788</v>
      </c>
      <c r="D468" s="85" t="s">
        <v>583</v>
      </c>
      <c r="E468" s="85" t="s">
        <v>381</v>
      </c>
      <c r="F468" s="85" t="s">
        <v>1071</v>
      </c>
      <c r="G468" s="90">
        <f>G469</f>
        <v>0</v>
      </c>
      <c r="H468" s="90">
        <f>H469</f>
        <v>1147.5</v>
      </c>
      <c r="I468" s="422">
        <f>I469</f>
        <v>1147.3</v>
      </c>
      <c r="J468" s="203"/>
      <c r="K468" s="433">
        <f t="shared" si="43"/>
        <v>99.98257080610021</v>
      </c>
    </row>
    <row r="469" spans="1:11" ht="24">
      <c r="A469" s="87" t="s">
        <v>375</v>
      </c>
      <c r="B469" s="82" t="s">
        <v>1550</v>
      </c>
      <c r="C469" s="85" t="s">
        <v>1788</v>
      </c>
      <c r="D469" s="85" t="s">
        <v>583</v>
      </c>
      <c r="E469" s="85" t="s">
        <v>381</v>
      </c>
      <c r="F469" s="85" t="s">
        <v>1637</v>
      </c>
      <c r="G469" s="90">
        <f>G470+G471</f>
        <v>0</v>
      </c>
      <c r="H469" s="90">
        <f>H470+H471</f>
        <v>1147.5</v>
      </c>
      <c r="I469" s="422">
        <f>I470+I471</f>
        <v>1147.3</v>
      </c>
      <c r="J469" s="203"/>
      <c r="K469" s="433">
        <f t="shared" si="43"/>
        <v>99.98257080610021</v>
      </c>
    </row>
    <row r="470" spans="1:11" ht="36">
      <c r="A470" s="87" t="s">
        <v>1671</v>
      </c>
      <c r="B470" s="82" t="s">
        <v>1550</v>
      </c>
      <c r="C470" s="85" t="s">
        <v>1788</v>
      </c>
      <c r="D470" s="85" t="s">
        <v>583</v>
      </c>
      <c r="E470" s="85" t="s">
        <v>381</v>
      </c>
      <c r="F470" s="85" t="s">
        <v>1637</v>
      </c>
      <c r="G470" s="90"/>
      <c r="H470" s="90">
        <f>1190.3-944-98.8</f>
        <v>147.49999999999994</v>
      </c>
      <c r="I470" s="422">
        <v>147.3</v>
      </c>
      <c r="J470" s="203"/>
      <c r="K470" s="433">
        <f t="shared" si="43"/>
        <v>99.86440677966107</v>
      </c>
    </row>
    <row r="471" spans="1:11" ht="24">
      <c r="A471" s="87" t="s">
        <v>494</v>
      </c>
      <c r="B471" s="82" t="s">
        <v>1550</v>
      </c>
      <c r="C471" s="85" t="s">
        <v>1788</v>
      </c>
      <c r="D471" s="85" t="s">
        <v>583</v>
      </c>
      <c r="E471" s="85" t="s">
        <v>381</v>
      </c>
      <c r="F471" s="85" t="s">
        <v>1637</v>
      </c>
      <c r="G471" s="90"/>
      <c r="H471" s="90">
        <v>1000</v>
      </c>
      <c r="I471" s="422">
        <v>1000</v>
      </c>
      <c r="J471" s="203"/>
      <c r="K471" s="433">
        <f t="shared" si="43"/>
        <v>100</v>
      </c>
    </row>
    <row r="472" spans="1:11" ht="15">
      <c r="A472" s="96" t="s">
        <v>75</v>
      </c>
      <c r="B472" s="82" t="s">
        <v>1550</v>
      </c>
      <c r="C472" s="85" t="s">
        <v>1788</v>
      </c>
      <c r="D472" s="85" t="s">
        <v>1788</v>
      </c>
      <c r="E472" s="85"/>
      <c r="F472" s="85"/>
      <c r="G472" s="90">
        <f>G473+G481</f>
        <v>24215.6</v>
      </c>
      <c r="H472" s="90">
        <f>H473+H481</f>
        <v>26266.2</v>
      </c>
      <c r="I472" s="422">
        <f>I473+I481</f>
        <v>25773.699999999997</v>
      </c>
      <c r="J472" s="203">
        <f>I472/G472*100</f>
        <v>106.4342820330696</v>
      </c>
      <c r="K472" s="433">
        <f t="shared" si="43"/>
        <v>98.1249666872254</v>
      </c>
    </row>
    <row r="473" spans="1:11" ht="36">
      <c r="A473" s="93" t="s">
        <v>143</v>
      </c>
      <c r="B473" s="82" t="s">
        <v>1550</v>
      </c>
      <c r="C473" s="85" t="s">
        <v>1788</v>
      </c>
      <c r="D473" s="85" t="s">
        <v>1788</v>
      </c>
      <c r="E473" s="85" t="s">
        <v>144</v>
      </c>
      <c r="F473" s="85"/>
      <c r="G473" s="90">
        <f>G474+G479</f>
        <v>6920.6</v>
      </c>
      <c r="H473" s="90">
        <f>H474+H479</f>
        <v>8242.2</v>
      </c>
      <c r="I473" s="422">
        <f>I474+I479</f>
        <v>7758.1</v>
      </c>
      <c r="J473" s="203">
        <f>I473/G473*100</f>
        <v>112.10155188856457</v>
      </c>
      <c r="K473" s="433">
        <f t="shared" si="43"/>
        <v>94.12656814928053</v>
      </c>
    </row>
    <row r="474" spans="1:11" ht="24">
      <c r="A474" s="87" t="s">
        <v>1599</v>
      </c>
      <c r="B474" s="82" t="s">
        <v>1550</v>
      </c>
      <c r="C474" s="85" t="s">
        <v>1788</v>
      </c>
      <c r="D474" s="85" t="s">
        <v>1788</v>
      </c>
      <c r="E474" s="85" t="s">
        <v>1884</v>
      </c>
      <c r="F474" s="85" t="s">
        <v>1071</v>
      </c>
      <c r="G474" s="90">
        <f>G475+G476+G477+G478</f>
        <v>6920.6</v>
      </c>
      <c r="H474" s="90">
        <f>H475+H476+H477+H478</f>
        <v>8230.2</v>
      </c>
      <c r="I474" s="422">
        <f>I475+I476+I477+I478</f>
        <v>7746.700000000001</v>
      </c>
      <c r="J474" s="203">
        <f>I474/G474*100</f>
        <v>111.93682628673815</v>
      </c>
      <c r="K474" s="433">
        <f t="shared" si="43"/>
        <v>94.12529464654565</v>
      </c>
    </row>
    <row r="475" spans="1:11" ht="24">
      <c r="A475" s="87" t="s">
        <v>1832</v>
      </c>
      <c r="B475" s="82" t="s">
        <v>1550</v>
      </c>
      <c r="C475" s="85" t="s">
        <v>1788</v>
      </c>
      <c r="D475" s="85" t="s">
        <v>1788</v>
      </c>
      <c r="E475" s="85" t="s">
        <v>1884</v>
      </c>
      <c r="F475" s="85" t="s">
        <v>1833</v>
      </c>
      <c r="G475" s="90"/>
      <c r="H475" s="90">
        <f>2671.8+885.4</f>
        <v>3557.2000000000003</v>
      </c>
      <c r="I475" s="422">
        <v>3231.4</v>
      </c>
      <c r="J475" s="203"/>
      <c r="K475" s="433">
        <f t="shared" si="43"/>
        <v>90.8411109861689</v>
      </c>
    </row>
    <row r="476" spans="1:11" ht="24">
      <c r="A476" s="87" t="s">
        <v>1729</v>
      </c>
      <c r="B476" s="82" t="s">
        <v>1550</v>
      </c>
      <c r="C476" s="85" t="s">
        <v>1788</v>
      </c>
      <c r="D476" s="85" t="s">
        <v>1788</v>
      </c>
      <c r="E476" s="85" t="s">
        <v>1884</v>
      </c>
      <c r="F476" s="85" t="s">
        <v>1837</v>
      </c>
      <c r="G476" s="90"/>
      <c r="H476" s="90">
        <f>406+184</f>
        <v>590</v>
      </c>
      <c r="I476" s="422">
        <v>528.4</v>
      </c>
      <c r="J476" s="203"/>
      <c r="K476" s="433">
        <f t="shared" si="43"/>
        <v>89.5593220338983</v>
      </c>
    </row>
    <row r="477" spans="1:11" ht="24">
      <c r="A477" s="87" t="s">
        <v>1347</v>
      </c>
      <c r="B477" s="82" t="s">
        <v>1550</v>
      </c>
      <c r="C477" s="85" t="s">
        <v>1788</v>
      </c>
      <c r="D477" s="85" t="s">
        <v>1788</v>
      </c>
      <c r="E477" s="85" t="s">
        <v>1884</v>
      </c>
      <c r="F477" s="85" t="s">
        <v>436</v>
      </c>
      <c r="G477" s="90">
        <v>6920.6</v>
      </c>
      <c r="H477" s="90"/>
      <c r="I477" s="422"/>
      <c r="J477" s="203"/>
      <c r="K477" s="433"/>
    </row>
    <row r="478" spans="1:11" ht="24">
      <c r="A478" s="87" t="s">
        <v>1817</v>
      </c>
      <c r="B478" s="82" t="s">
        <v>1550</v>
      </c>
      <c r="C478" s="85" t="s">
        <v>1788</v>
      </c>
      <c r="D478" s="85" t="s">
        <v>1788</v>
      </c>
      <c r="E478" s="85" t="s">
        <v>1818</v>
      </c>
      <c r="F478" s="85" t="s">
        <v>88</v>
      </c>
      <c r="G478" s="90"/>
      <c r="H478" s="90">
        <v>4083</v>
      </c>
      <c r="I478" s="422">
        <v>3986.9</v>
      </c>
      <c r="J478" s="203"/>
      <c r="K478" s="433">
        <f t="shared" si="43"/>
        <v>97.64633847661034</v>
      </c>
    </row>
    <row r="479" spans="1:11" ht="24">
      <c r="A479" s="349" t="s">
        <v>1840</v>
      </c>
      <c r="B479" s="82" t="s">
        <v>1550</v>
      </c>
      <c r="C479" s="85" t="s">
        <v>1788</v>
      </c>
      <c r="D479" s="85" t="s">
        <v>1788</v>
      </c>
      <c r="E479" s="85" t="s">
        <v>1841</v>
      </c>
      <c r="F479" s="85" t="s">
        <v>1071</v>
      </c>
      <c r="G479" s="90">
        <f>G480</f>
        <v>0</v>
      </c>
      <c r="H479" s="90">
        <f>H480</f>
        <v>12</v>
      </c>
      <c r="I479" s="422">
        <f>I480</f>
        <v>11.4</v>
      </c>
      <c r="J479" s="203"/>
      <c r="K479" s="433">
        <f t="shared" si="43"/>
        <v>95</v>
      </c>
    </row>
    <row r="480" spans="1:11" ht="24">
      <c r="A480" s="87" t="s">
        <v>1840</v>
      </c>
      <c r="B480" s="82" t="s">
        <v>1550</v>
      </c>
      <c r="C480" s="85" t="s">
        <v>1788</v>
      </c>
      <c r="D480" s="85" t="s">
        <v>1788</v>
      </c>
      <c r="E480" s="85" t="s">
        <v>1841</v>
      </c>
      <c r="F480" s="85" t="s">
        <v>1842</v>
      </c>
      <c r="G480" s="90"/>
      <c r="H480" s="90">
        <v>12</v>
      </c>
      <c r="I480" s="422">
        <v>11.4</v>
      </c>
      <c r="J480" s="203"/>
      <c r="K480" s="433">
        <f t="shared" si="43"/>
        <v>95</v>
      </c>
    </row>
    <row r="481" spans="1:11" ht="48">
      <c r="A481" s="86" t="s">
        <v>1366</v>
      </c>
      <c r="B481" s="82" t="s">
        <v>1550</v>
      </c>
      <c r="C481" s="85" t="s">
        <v>1788</v>
      </c>
      <c r="D481" s="85" t="s">
        <v>1788</v>
      </c>
      <c r="E481" s="85" t="s">
        <v>1367</v>
      </c>
      <c r="F481" s="85"/>
      <c r="G481" s="90">
        <f aca="true" t="shared" si="44" ref="G481:I483">G482</f>
        <v>17295</v>
      </c>
      <c r="H481" s="90">
        <f t="shared" si="44"/>
        <v>18024</v>
      </c>
      <c r="I481" s="422">
        <f t="shared" si="44"/>
        <v>18015.6</v>
      </c>
      <c r="J481" s="203">
        <f>I481/G481*100</f>
        <v>104.16652211621854</v>
      </c>
      <c r="K481" s="433">
        <f t="shared" si="43"/>
        <v>99.95339547270305</v>
      </c>
    </row>
    <row r="482" spans="1:11" ht="24">
      <c r="A482" s="95" t="s">
        <v>661</v>
      </c>
      <c r="B482" s="82" t="s">
        <v>1550</v>
      </c>
      <c r="C482" s="85" t="s">
        <v>1788</v>
      </c>
      <c r="D482" s="85" t="s">
        <v>1788</v>
      </c>
      <c r="E482" s="85" t="s">
        <v>1416</v>
      </c>
      <c r="F482" s="85" t="s">
        <v>1071</v>
      </c>
      <c r="G482" s="90">
        <f t="shared" si="44"/>
        <v>17295</v>
      </c>
      <c r="H482" s="90">
        <f t="shared" si="44"/>
        <v>18024</v>
      </c>
      <c r="I482" s="422">
        <f t="shared" si="44"/>
        <v>18015.6</v>
      </c>
      <c r="J482" s="203">
        <f>I482/G482*100</f>
        <v>104.16652211621854</v>
      </c>
      <c r="K482" s="433">
        <f t="shared" si="43"/>
        <v>99.95339547270305</v>
      </c>
    </row>
    <row r="483" spans="1:11" ht="24">
      <c r="A483" s="87" t="s">
        <v>819</v>
      </c>
      <c r="B483" s="82" t="s">
        <v>1550</v>
      </c>
      <c r="C483" s="85" t="s">
        <v>1788</v>
      </c>
      <c r="D483" s="85" t="s">
        <v>1788</v>
      </c>
      <c r="E483" s="85" t="s">
        <v>1416</v>
      </c>
      <c r="F483" s="85" t="s">
        <v>744</v>
      </c>
      <c r="G483" s="90">
        <f t="shared" si="44"/>
        <v>17295</v>
      </c>
      <c r="H483" s="90">
        <f t="shared" si="44"/>
        <v>18024</v>
      </c>
      <c r="I483" s="422">
        <f t="shared" si="44"/>
        <v>18015.6</v>
      </c>
      <c r="J483" s="203">
        <f>I483/G483*100</f>
        <v>104.16652211621854</v>
      </c>
      <c r="K483" s="433">
        <f t="shared" si="43"/>
        <v>99.95339547270305</v>
      </c>
    </row>
    <row r="484" spans="1:11" ht="24">
      <c r="A484" s="87" t="s">
        <v>745</v>
      </c>
      <c r="B484" s="82" t="s">
        <v>1550</v>
      </c>
      <c r="C484" s="85" t="s">
        <v>1788</v>
      </c>
      <c r="D484" s="85" t="s">
        <v>1788</v>
      </c>
      <c r="E484" s="85" t="s">
        <v>1416</v>
      </c>
      <c r="F484" s="85" t="s">
        <v>746</v>
      </c>
      <c r="G484" s="90">
        <v>17295</v>
      </c>
      <c r="H484" s="90">
        <f>17981-686+729</f>
        <v>18024</v>
      </c>
      <c r="I484" s="422">
        <v>18015.6</v>
      </c>
      <c r="J484" s="203">
        <f>I484/G484*100</f>
        <v>104.16652211621854</v>
      </c>
      <c r="K484" s="433">
        <f t="shared" si="43"/>
        <v>99.95339547270305</v>
      </c>
    </row>
    <row r="485" spans="1:11" ht="15.75" hidden="1">
      <c r="A485" s="88" t="s">
        <v>246</v>
      </c>
      <c r="B485" s="82" t="s">
        <v>1550</v>
      </c>
      <c r="C485" s="85" t="s">
        <v>1795</v>
      </c>
      <c r="D485" s="85"/>
      <c r="E485" s="85"/>
      <c r="F485" s="85"/>
      <c r="G485" s="90">
        <f aca="true" t="shared" si="45" ref="G485:I487">G486</f>
        <v>0</v>
      </c>
      <c r="H485" s="90">
        <f t="shared" si="45"/>
        <v>0</v>
      </c>
      <c r="I485" s="422">
        <f t="shared" si="45"/>
        <v>1</v>
      </c>
      <c r="J485" s="203"/>
      <c r="K485" s="433"/>
    </row>
    <row r="486" spans="1:11" ht="15.75" hidden="1">
      <c r="A486" s="91" t="s">
        <v>358</v>
      </c>
      <c r="B486" s="82" t="s">
        <v>1550</v>
      </c>
      <c r="C486" s="85" t="s">
        <v>1795</v>
      </c>
      <c r="D486" s="85" t="s">
        <v>1598</v>
      </c>
      <c r="E486" s="85"/>
      <c r="F486" s="85"/>
      <c r="G486" s="90">
        <f t="shared" si="45"/>
        <v>0</v>
      </c>
      <c r="H486" s="90">
        <f t="shared" si="45"/>
        <v>0</v>
      </c>
      <c r="I486" s="422">
        <f t="shared" si="45"/>
        <v>1</v>
      </c>
      <c r="J486" s="203"/>
      <c r="K486" s="433"/>
    </row>
    <row r="487" spans="1:11" ht="24" hidden="1">
      <c r="A487" s="93" t="s">
        <v>458</v>
      </c>
      <c r="B487" s="82" t="s">
        <v>1550</v>
      </c>
      <c r="C487" s="85" t="s">
        <v>1795</v>
      </c>
      <c r="D487" s="85" t="s">
        <v>1598</v>
      </c>
      <c r="E487" s="85" t="s">
        <v>459</v>
      </c>
      <c r="F487" s="85"/>
      <c r="G487" s="90">
        <f t="shared" si="45"/>
        <v>0</v>
      </c>
      <c r="H487" s="90">
        <f t="shared" si="45"/>
        <v>0</v>
      </c>
      <c r="I487" s="422">
        <f t="shared" si="45"/>
        <v>1</v>
      </c>
      <c r="J487" s="203"/>
      <c r="K487" s="433"/>
    </row>
    <row r="488" spans="1:11" ht="15.75" hidden="1">
      <c r="A488" s="87" t="s">
        <v>528</v>
      </c>
      <c r="B488" s="82" t="s">
        <v>1550</v>
      </c>
      <c r="C488" s="85" t="s">
        <v>1795</v>
      </c>
      <c r="D488" s="85" t="s">
        <v>1598</v>
      </c>
      <c r="E488" s="85" t="s">
        <v>459</v>
      </c>
      <c r="F488" s="85" t="s">
        <v>1091</v>
      </c>
      <c r="G488" s="90">
        <v>0</v>
      </c>
      <c r="H488" s="90">
        <v>0</v>
      </c>
      <c r="I488" s="422">
        <v>1</v>
      </c>
      <c r="J488" s="276"/>
      <c r="K488" s="433"/>
    </row>
    <row r="489" spans="1:11" ht="15.75" hidden="1">
      <c r="A489" s="87" t="s">
        <v>1092</v>
      </c>
      <c r="B489" s="82" t="s">
        <v>1550</v>
      </c>
      <c r="C489" s="85" t="s">
        <v>1788</v>
      </c>
      <c r="D489" s="85" t="s">
        <v>1795</v>
      </c>
      <c r="E489" s="85" t="s">
        <v>1093</v>
      </c>
      <c r="F489" s="85" t="s">
        <v>1094</v>
      </c>
      <c r="G489" s="90"/>
      <c r="H489" s="90"/>
      <c r="I489" s="422"/>
      <c r="J489" s="203"/>
      <c r="K489" s="433"/>
    </row>
    <row r="490" spans="1:11" ht="15.75" hidden="1">
      <c r="A490" s="87" t="s">
        <v>246</v>
      </c>
      <c r="B490" s="82" t="s">
        <v>1550</v>
      </c>
      <c r="C490" s="85" t="s">
        <v>1795</v>
      </c>
      <c r="D490" s="85"/>
      <c r="E490" s="85"/>
      <c r="F490" s="85"/>
      <c r="G490" s="90">
        <f aca="true" t="shared" si="46" ref="G490:I492">G491</f>
        <v>0</v>
      </c>
      <c r="H490" s="90">
        <f t="shared" si="46"/>
        <v>0</v>
      </c>
      <c r="I490" s="422">
        <f t="shared" si="46"/>
        <v>0</v>
      </c>
      <c r="J490" s="203"/>
      <c r="K490" s="433"/>
    </row>
    <row r="491" spans="1:11" ht="15.75" hidden="1">
      <c r="A491" s="91" t="s">
        <v>358</v>
      </c>
      <c r="B491" s="82" t="s">
        <v>1550</v>
      </c>
      <c r="C491" s="85" t="s">
        <v>1795</v>
      </c>
      <c r="D491" s="85" t="s">
        <v>1598</v>
      </c>
      <c r="E491" s="85"/>
      <c r="F491" s="85"/>
      <c r="G491" s="90">
        <f t="shared" si="46"/>
        <v>0</v>
      </c>
      <c r="H491" s="90">
        <f t="shared" si="46"/>
        <v>0</v>
      </c>
      <c r="I491" s="422">
        <f t="shared" si="46"/>
        <v>0</v>
      </c>
      <c r="J491" s="203"/>
      <c r="K491" s="433"/>
    </row>
    <row r="492" spans="1:11" ht="15.75" hidden="1">
      <c r="A492" s="93" t="s">
        <v>1605</v>
      </c>
      <c r="B492" s="82" t="s">
        <v>1550</v>
      </c>
      <c r="C492" s="85" t="s">
        <v>1795</v>
      </c>
      <c r="D492" s="85" t="s">
        <v>1598</v>
      </c>
      <c r="E492" s="85" t="s">
        <v>1234</v>
      </c>
      <c r="F492" s="85"/>
      <c r="G492" s="90">
        <f t="shared" si="46"/>
        <v>0</v>
      </c>
      <c r="H492" s="90">
        <f t="shared" si="46"/>
        <v>0</v>
      </c>
      <c r="I492" s="422">
        <f t="shared" si="46"/>
        <v>0</v>
      </c>
      <c r="J492" s="203"/>
      <c r="K492" s="433"/>
    </row>
    <row r="493" spans="1:11" ht="15.75" hidden="1">
      <c r="A493" s="87" t="s">
        <v>1095</v>
      </c>
      <c r="B493" s="82" t="s">
        <v>1550</v>
      </c>
      <c r="C493" s="85" t="s">
        <v>1795</v>
      </c>
      <c r="D493" s="85" t="s">
        <v>1598</v>
      </c>
      <c r="E493" s="85" t="s">
        <v>1606</v>
      </c>
      <c r="F493" s="85"/>
      <c r="G493" s="90">
        <f>G494+G496</f>
        <v>0</v>
      </c>
      <c r="H493" s="90">
        <f>H494+H496</f>
        <v>0</v>
      </c>
      <c r="I493" s="422">
        <f>I494+I496</f>
        <v>0</v>
      </c>
      <c r="J493" s="203"/>
      <c r="K493" s="433"/>
    </row>
    <row r="494" spans="1:11" ht="28.5" customHeight="1" hidden="1">
      <c r="A494" s="87" t="s">
        <v>1096</v>
      </c>
      <c r="B494" s="82" t="s">
        <v>1550</v>
      </c>
      <c r="C494" s="85" t="s">
        <v>1795</v>
      </c>
      <c r="D494" s="85" t="s">
        <v>1598</v>
      </c>
      <c r="E494" s="85" t="s">
        <v>522</v>
      </c>
      <c r="F494" s="85" t="s">
        <v>1071</v>
      </c>
      <c r="G494" s="90">
        <f>G495</f>
        <v>0</v>
      </c>
      <c r="H494" s="90">
        <f>H495</f>
        <v>0</v>
      </c>
      <c r="I494" s="422">
        <f>I495</f>
        <v>0</v>
      </c>
      <c r="J494" s="203"/>
      <c r="K494" s="433"/>
    </row>
    <row r="495" spans="1:11" ht="15.75" hidden="1">
      <c r="A495" s="87" t="s">
        <v>1786</v>
      </c>
      <c r="B495" s="82" t="s">
        <v>1550</v>
      </c>
      <c r="C495" s="85" t="s">
        <v>1795</v>
      </c>
      <c r="D495" s="85" t="s">
        <v>1598</v>
      </c>
      <c r="E495" s="85" t="s">
        <v>522</v>
      </c>
      <c r="F495" s="85" t="s">
        <v>1880</v>
      </c>
      <c r="G495" s="90"/>
      <c r="H495" s="90"/>
      <c r="I495" s="422"/>
      <c r="J495" s="203"/>
      <c r="K495" s="433"/>
    </row>
    <row r="496" spans="1:11" ht="15.75" hidden="1">
      <c r="A496" s="87" t="s">
        <v>523</v>
      </c>
      <c r="B496" s="82" t="s">
        <v>1550</v>
      </c>
      <c r="C496" s="85" t="s">
        <v>1795</v>
      </c>
      <c r="D496" s="85" t="s">
        <v>1598</v>
      </c>
      <c r="E496" s="85" t="s">
        <v>524</v>
      </c>
      <c r="F496" s="89"/>
      <c r="G496" s="90">
        <f>G497</f>
        <v>0</v>
      </c>
      <c r="H496" s="90">
        <f>H497</f>
        <v>0</v>
      </c>
      <c r="I496" s="422">
        <f>I497</f>
        <v>0</v>
      </c>
      <c r="J496" s="203"/>
      <c r="K496" s="433"/>
    </row>
    <row r="497" spans="1:11" ht="15.75" hidden="1">
      <c r="A497" s="87" t="s">
        <v>1786</v>
      </c>
      <c r="B497" s="82" t="s">
        <v>1550</v>
      </c>
      <c r="C497" s="85" t="s">
        <v>1795</v>
      </c>
      <c r="D497" s="85" t="s">
        <v>1598</v>
      </c>
      <c r="E497" s="85" t="s">
        <v>524</v>
      </c>
      <c r="F497" s="85" t="s">
        <v>1880</v>
      </c>
      <c r="G497" s="90"/>
      <c r="H497" s="90"/>
      <c r="I497" s="422"/>
      <c r="J497" s="203"/>
      <c r="K497" s="433"/>
    </row>
    <row r="498" spans="1:11" ht="15.75">
      <c r="A498" s="79" t="s">
        <v>511</v>
      </c>
      <c r="B498" s="80" t="s">
        <v>1097</v>
      </c>
      <c r="C498" s="80"/>
      <c r="D498" s="80"/>
      <c r="E498" s="80"/>
      <c r="F498" s="80"/>
      <c r="G498" s="81">
        <f>G503+G507+G516+G572+G653</f>
        <v>467139.6</v>
      </c>
      <c r="H498" s="81">
        <f>H503+H507+H516+H572+H653</f>
        <v>496267.5</v>
      </c>
      <c r="I498" s="430">
        <f>I503+I507+I516+I572+I653</f>
        <v>492045.6</v>
      </c>
      <c r="J498" s="419">
        <f>I498/G498*100</f>
        <v>105.33159680746398</v>
      </c>
      <c r="K498" s="434">
        <f>I498/H498*100</f>
        <v>99.14926929528933</v>
      </c>
    </row>
    <row r="499" spans="1:11" ht="25.5" hidden="1">
      <c r="A499" s="114" t="s">
        <v>1770</v>
      </c>
      <c r="B499" s="82" t="s">
        <v>1097</v>
      </c>
      <c r="C499" s="83" t="s">
        <v>1598</v>
      </c>
      <c r="D499" s="83"/>
      <c r="E499" s="83"/>
      <c r="F499" s="83"/>
      <c r="G499" s="90">
        <f aca="true" t="shared" si="47" ref="G499:I501">G500</f>
        <v>0</v>
      </c>
      <c r="H499" s="90">
        <f t="shared" si="47"/>
        <v>0</v>
      </c>
      <c r="I499" s="422">
        <f t="shared" si="47"/>
        <v>0</v>
      </c>
      <c r="J499" s="203"/>
      <c r="K499" s="433"/>
    </row>
    <row r="500" spans="1:11" ht="24" hidden="1">
      <c r="A500" s="91" t="s">
        <v>597</v>
      </c>
      <c r="B500" s="82" t="s">
        <v>1097</v>
      </c>
      <c r="C500" s="85" t="s">
        <v>1598</v>
      </c>
      <c r="D500" s="85" t="s">
        <v>546</v>
      </c>
      <c r="E500" s="85"/>
      <c r="F500" s="85"/>
      <c r="G500" s="90">
        <f t="shared" si="47"/>
        <v>0</v>
      </c>
      <c r="H500" s="90">
        <f t="shared" si="47"/>
        <v>0</v>
      </c>
      <c r="I500" s="422">
        <f t="shared" si="47"/>
        <v>0</v>
      </c>
      <c r="J500" s="203"/>
      <c r="K500" s="433"/>
    </row>
    <row r="501" spans="1:11" ht="24" hidden="1">
      <c r="A501" s="86" t="s">
        <v>1098</v>
      </c>
      <c r="B501" s="82" t="s">
        <v>1097</v>
      </c>
      <c r="C501" s="85" t="s">
        <v>1598</v>
      </c>
      <c r="D501" s="85" t="s">
        <v>546</v>
      </c>
      <c r="E501" s="85" t="s">
        <v>907</v>
      </c>
      <c r="F501" s="85"/>
      <c r="G501" s="90">
        <f t="shared" si="47"/>
        <v>0</v>
      </c>
      <c r="H501" s="90">
        <f t="shared" si="47"/>
        <v>0</v>
      </c>
      <c r="I501" s="422">
        <f t="shared" si="47"/>
        <v>0</v>
      </c>
      <c r="J501" s="203"/>
      <c r="K501" s="433"/>
    </row>
    <row r="502" spans="1:11" ht="15.75" hidden="1">
      <c r="A502" s="87" t="s">
        <v>1763</v>
      </c>
      <c r="B502" s="82" t="s">
        <v>1097</v>
      </c>
      <c r="C502" s="85" t="s">
        <v>1598</v>
      </c>
      <c r="D502" s="85" t="s">
        <v>546</v>
      </c>
      <c r="E502" s="85" t="s">
        <v>907</v>
      </c>
      <c r="F502" s="85" t="s">
        <v>1099</v>
      </c>
      <c r="G502" s="90"/>
      <c r="H502" s="90"/>
      <c r="I502" s="422"/>
      <c r="J502" s="203"/>
      <c r="K502" s="433"/>
    </row>
    <row r="503" spans="1:11" ht="15.75" hidden="1">
      <c r="A503" s="371" t="s">
        <v>140</v>
      </c>
      <c r="B503" s="82" t="s">
        <v>1097</v>
      </c>
      <c r="C503" s="85" t="s">
        <v>141</v>
      </c>
      <c r="D503" s="85"/>
      <c r="E503" s="85"/>
      <c r="F503" s="85"/>
      <c r="G503" s="90">
        <f aca="true" t="shared" si="48" ref="G503:I505">G504</f>
        <v>0</v>
      </c>
      <c r="H503" s="90">
        <f t="shared" si="48"/>
        <v>0</v>
      </c>
      <c r="I503" s="422">
        <f t="shared" si="48"/>
        <v>0</v>
      </c>
      <c r="J503" s="203"/>
      <c r="K503" s="433"/>
    </row>
    <row r="504" spans="1:11" ht="15.75" hidden="1">
      <c r="A504" s="91" t="s">
        <v>1538</v>
      </c>
      <c r="B504" s="82" t="s">
        <v>1097</v>
      </c>
      <c r="C504" s="85" t="s">
        <v>141</v>
      </c>
      <c r="D504" s="85" t="s">
        <v>1764</v>
      </c>
      <c r="E504" s="85"/>
      <c r="F504" s="85"/>
      <c r="G504" s="90">
        <f t="shared" si="48"/>
        <v>0</v>
      </c>
      <c r="H504" s="90">
        <f t="shared" si="48"/>
        <v>0</v>
      </c>
      <c r="I504" s="422">
        <f t="shared" si="48"/>
        <v>0</v>
      </c>
      <c r="J504" s="203"/>
      <c r="K504" s="433"/>
    </row>
    <row r="505" spans="1:11" ht="15.75" hidden="1">
      <c r="A505" s="93" t="s">
        <v>661</v>
      </c>
      <c r="B505" s="82" t="s">
        <v>1097</v>
      </c>
      <c r="C505" s="85" t="s">
        <v>141</v>
      </c>
      <c r="D505" s="85" t="s">
        <v>1764</v>
      </c>
      <c r="E505" s="109" t="s">
        <v>1760</v>
      </c>
      <c r="F505" s="85"/>
      <c r="G505" s="90">
        <f t="shared" si="48"/>
        <v>0</v>
      </c>
      <c r="H505" s="90">
        <f t="shared" si="48"/>
        <v>0</v>
      </c>
      <c r="I505" s="422">
        <f t="shared" si="48"/>
        <v>0</v>
      </c>
      <c r="J505" s="203"/>
      <c r="K505" s="433"/>
    </row>
    <row r="506" spans="1:11" ht="15.75" hidden="1">
      <c r="A506" s="87" t="s">
        <v>1758</v>
      </c>
      <c r="B506" s="82" t="s">
        <v>1097</v>
      </c>
      <c r="C506" s="85" t="s">
        <v>141</v>
      </c>
      <c r="D506" s="85" t="s">
        <v>1764</v>
      </c>
      <c r="E506" s="109" t="s">
        <v>1760</v>
      </c>
      <c r="F506" s="85" t="s">
        <v>1878</v>
      </c>
      <c r="G506" s="90">
        <f>40977-4321-36656</f>
        <v>0</v>
      </c>
      <c r="H506" s="90">
        <f>40977-4321-36656</f>
        <v>0</v>
      </c>
      <c r="I506" s="422">
        <f>40977-4321-36656</f>
        <v>0</v>
      </c>
      <c r="J506" s="203"/>
      <c r="K506" s="433"/>
    </row>
    <row r="507" spans="1:11" ht="15">
      <c r="A507" s="88" t="s">
        <v>312</v>
      </c>
      <c r="B507" s="82" t="s">
        <v>1097</v>
      </c>
      <c r="C507" s="85" t="s">
        <v>172</v>
      </c>
      <c r="D507" s="85"/>
      <c r="E507" s="109"/>
      <c r="F507" s="85"/>
      <c r="G507" s="90">
        <f>G508+G512</f>
        <v>0</v>
      </c>
      <c r="H507" s="90">
        <f>H508+H512</f>
        <v>1350</v>
      </c>
      <c r="I507" s="422">
        <f>I508+I512</f>
        <v>1310.5</v>
      </c>
      <c r="J507" s="203"/>
      <c r="K507" s="433">
        <f aca="true" t="shared" si="49" ref="K507:K570">I507/H507*100</f>
        <v>97.07407407407408</v>
      </c>
    </row>
    <row r="508" spans="1:11" ht="15">
      <c r="A508" s="106" t="s">
        <v>1287</v>
      </c>
      <c r="B508" s="82" t="s">
        <v>1097</v>
      </c>
      <c r="C508" s="85" t="s">
        <v>172</v>
      </c>
      <c r="D508" s="85" t="s">
        <v>142</v>
      </c>
      <c r="E508" s="109"/>
      <c r="F508" s="85"/>
      <c r="G508" s="90">
        <f aca="true" t="shared" si="50" ref="G508:I510">G509</f>
        <v>0</v>
      </c>
      <c r="H508" s="90">
        <f t="shared" si="50"/>
        <v>350</v>
      </c>
      <c r="I508" s="422">
        <f t="shared" si="50"/>
        <v>350</v>
      </c>
      <c r="J508" s="203"/>
      <c r="K508" s="433">
        <f t="shared" si="49"/>
        <v>100</v>
      </c>
    </row>
    <row r="509" spans="1:11" ht="15.75" customHeight="1">
      <c r="A509" s="92" t="s">
        <v>1664</v>
      </c>
      <c r="B509" s="82" t="s">
        <v>1097</v>
      </c>
      <c r="C509" s="85" t="s">
        <v>172</v>
      </c>
      <c r="D509" s="85" t="s">
        <v>142</v>
      </c>
      <c r="E509" s="109" t="s">
        <v>1665</v>
      </c>
      <c r="F509" s="85" t="s">
        <v>1071</v>
      </c>
      <c r="G509" s="90">
        <f t="shared" si="50"/>
        <v>0</v>
      </c>
      <c r="H509" s="90">
        <f t="shared" si="50"/>
        <v>350</v>
      </c>
      <c r="I509" s="422">
        <f t="shared" si="50"/>
        <v>350</v>
      </c>
      <c r="J509" s="203"/>
      <c r="K509" s="433">
        <f t="shared" si="49"/>
        <v>100</v>
      </c>
    </row>
    <row r="510" spans="1:11" ht="24" customHeight="1">
      <c r="A510" s="87" t="s">
        <v>305</v>
      </c>
      <c r="B510" s="82" t="s">
        <v>1097</v>
      </c>
      <c r="C510" s="85" t="s">
        <v>172</v>
      </c>
      <c r="D510" s="85" t="s">
        <v>142</v>
      </c>
      <c r="E510" s="109" t="s">
        <v>1665</v>
      </c>
      <c r="F510" s="85" t="s">
        <v>801</v>
      </c>
      <c r="G510" s="90">
        <f t="shared" si="50"/>
        <v>0</v>
      </c>
      <c r="H510" s="90">
        <f t="shared" si="50"/>
        <v>350</v>
      </c>
      <c r="I510" s="422">
        <f t="shared" si="50"/>
        <v>350</v>
      </c>
      <c r="J510" s="203"/>
      <c r="K510" s="433">
        <f t="shared" si="49"/>
        <v>100</v>
      </c>
    </row>
    <row r="511" spans="1:11" ht="24" customHeight="1">
      <c r="A511" s="87" t="s">
        <v>1609</v>
      </c>
      <c r="B511" s="82" t="s">
        <v>1097</v>
      </c>
      <c r="C511" s="85" t="s">
        <v>172</v>
      </c>
      <c r="D511" s="85" t="s">
        <v>142</v>
      </c>
      <c r="E511" s="109" t="s">
        <v>1665</v>
      </c>
      <c r="F511" s="85" t="s">
        <v>801</v>
      </c>
      <c r="G511" s="90"/>
      <c r="H511" s="90">
        <v>350</v>
      </c>
      <c r="I511" s="422">
        <v>350</v>
      </c>
      <c r="J511" s="203"/>
      <c r="K511" s="433">
        <f t="shared" si="49"/>
        <v>100</v>
      </c>
    </row>
    <row r="512" spans="1:11" ht="15.75" customHeight="1">
      <c r="A512" s="360" t="s">
        <v>1288</v>
      </c>
      <c r="B512" s="82" t="s">
        <v>1097</v>
      </c>
      <c r="C512" s="85" t="s">
        <v>172</v>
      </c>
      <c r="D512" s="85" t="s">
        <v>1598</v>
      </c>
      <c r="E512" s="109"/>
      <c r="F512" s="85"/>
      <c r="G512" s="90">
        <f aca="true" t="shared" si="51" ref="G512:I514">G513</f>
        <v>0</v>
      </c>
      <c r="H512" s="90">
        <f t="shared" si="51"/>
        <v>1000</v>
      </c>
      <c r="I512" s="422">
        <f t="shared" si="51"/>
        <v>960.5</v>
      </c>
      <c r="J512" s="203"/>
      <c r="K512" s="433">
        <f t="shared" si="49"/>
        <v>96.05</v>
      </c>
    </row>
    <row r="513" spans="1:11" ht="24">
      <c r="A513" s="360" t="s">
        <v>1664</v>
      </c>
      <c r="B513" s="82" t="s">
        <v>1097</v>
      </c>
      <c r="C513" s="85" t="s">
        <v>172</v>
      </c>
      <c r="D513" s="85" t="s">
        <v>1598</v>
      </c>
      <c r="E513" s="109" t="s">
        <v>1665</v>
      </c>
      <c r="F513" s="85" t="s">
        <v>1071</v>
      </c>
      <c r="G513" s="90">
        <f t="shared" si="51"/>
        <v>0</v>
      </c>
      <c r="H513" s="90">
        <f t="shared" si="51"/>
        <v>1000</v>
      </c>
      <c r="I513" s="422">
        <f t="shared" si="51"/>
        <v>960.5</v>
      </c>
      <c r="J513" s="203"/>
      <c r="K513" s="433">
        <f t="shared" si="49"/>
        <v>96.05</v>
      </c>
    </row>
    <row r="514" spans="1:11" ht="15">
      <c r="A514" s="87" t="s">
        <v>375</v>
      </c>
      <c r="B514" s="82" t="s">
        <v>1097</v>
      </c>
      <c r="C514" s="85" t="s">
        <v>172</v>
      </c>
      <c r="D514" s="85" t="s">
        <v>1598</v>
      </c>
      <c r="E514" s="109" t="s">
        <v>1665</v>
      </c>
      <c r="F514" s="85" t="s">
        <v>1637</v>
      </c>
      <c r="G514" s="90">
        <f t="shared" si="51"/>
        <v>0</v>
      </c>
      <c r="H514" s="90">
        <f t="shared" si="51"/>
        <v>1000</v>
      </c>
      <c r="I514" s="422">
        <f t="shared" si="51"/>
        <v>960.5</v>
      </c>
      <c r="J514" s="203"/>
      <c r="K514" s="433">
        <f t="shared" si="49"/>
        <v>96.05</v>
      </c>
    </row>
    <row r="515" spans="1:11" ht="24">
      <c r="A515" s="87" t="s">
        <v>808</v>
      </c>
      <c r="B515" s="82" t="s">
        <v>1097</v>
      </c>
      <c r="C515" s="85" t="s">
        <v>172</v>
      </c>
      <c r="D515" s="85" t="s">
        <v>1598</v>
      </c>
      <c r="E515" s="109" t="s">
        <v>1665</v>
      </c>
      <c r="F515" s="85" t="s">
        <v>1637</v>
      </c>
      <c r="G515" s="90"/>
      <c r="H515" s="90">
        <v>1000</v>
      </c>
      <c r="I515" s="422">
        <v>960.5</v>
      </c>
      <c r="J515" s="203"/>
      <c r="K515" s="433">
        <f t="shared" si="49"/>
        <v>96.05</v>
      </c>
    </row>
    <row r="516" spans="1:11" ht="15">
      <c r="A516" s="88" t="s">
        <v>1392</v>
      </c>
      <c r="B516" s="82" t="s">
        <v>1097</v>
      </c>
      <c r="C516" s="85" t="s">
        <v>584</v>
      </c>
      <c r="D516" s="89"/>
      <c r="E516" s="89"/>
      <c r="F516" s="89"/>
      <c r="G516" s="90">
        <f>G517+G526</f>
        <v>91554</v>
      </c>
      <c r="H516" s="90">
        <f>H517+H526</f>
        <v>96750.6</v>
      </c>
      <c r="I516" s="422">
        <f>I517+I526</f>
        <v>96048.2</v>
      </c>
      <c r="J516" s="203">
        <f aca="true" t="shared" si="52" ref="J516:J542">I516/G516*100</f>
        <v>104.90879699412368</v>
      </c>
      <c r="K516" s="433">
        <f t="shared" si="49"/>
        <v>99.27400967022426</v>
      </c>
    </row>
    <row r="517" spans="1:11" ht="16.5" customHeight="1">
      <c r="A517" s="91" t="s">
        <v>1297</v>
      </c>
      <c r="B517" s="82" t="s">
        <v>1097</v>
      </c>
      <c r="C517" s="85" t="s">
        <v>584</v>
      </c>
      <c r="D517" s="85" t="s">
        <v>142</v>
      </c>
      <c r="E517" s="85"/>
      <c r="F517" s="85"/>
      <c r="G517" s="90">
        <f>G518</f>
        <v>68970</v>
      </c>
      <c r="H517" s="90">
        <f>H518</f>
        <v>70030</v>
      </c>
      <c r="I517" s="422">
        <f>I518</f>
        <v>69809</v>
      </c>
      <c r="J517" s="203">
        <f t="shared" si="52"/>
        <v>101.21647092938959</v>
      </c>
      <c r="K517" s="433">
        <f t="shared" si="49"/>
        <v>99.68442096244466</v>
      </c>
    </row>
    <row r="518" spans="1:11" ht="19.5" customHeight="1">
      <c r="A518" s="93" t="s">
        <v>1402</v>
      </c>
      <c r="B518" s="82" t="s">
        <v>1097</v>
      </c>
      <c r="C518" s="85" t="s">
        <v>584</v>
      </c>
      <c r="D518" s="85" t="s">
        <v>142</v>
      </c>
      <c r="E518" s="85" t="s">
        <v>1403</v>
      </c>
      <c r="F518" s="85"/>
      <c r="G518" s="90">
        <f>G519+G521</f>
        <v>68970</v>
      </c>
      <c r="H518" s="90">
        <f>H519+H521</f>
        <v>70030</v>
      </c>
      <c r="I518" s="422">
        <f>I519+I521</f>
        <v>69809</v>
      </c>
      <c r="J518" s="203">
        <f t="shared" si="52"/>
        <v>101.21647092938959</v>
      </c>
      <c r="K518" s="433">
        <f t="shared" si="49"/>
        <v>99.68442096244466</v>
      </c>
    </row>
    <row r="519" spans="1:11" ht="18" customHeight="1" hidden="1">
      <c r="A519" s="94" t="s">
        <v>1359</v>
      </c>
      <c r="B519" s="82" t="s">
        <v>1097</v>
      </c>
      <c r="C519" s="85" t="s">
        <v>584</v>
      </c>
      <c r="D519" s="85" t="s">
        <v>142</v>
      </c>
      <c r="E519" s="85" t="s">
        <v>936</v>
      </c>
      <c r="F519" s="85"/>
      <c r="G519" s="90">
        <f>G520</f>
        <v>0</v>
      </c>
      <c r="H519" s="90">
        <f>H520</f>
        <v>0</v>
      </c>
      <c r="I519" s="422">
        <f>I520</f>
        <v>0</v>
      </c>
      <c r="J519" s="203" t="e">
        <f t="shared" si="52"/>
        <v>#DIV/0!</v>
      </c>
      <c r="K519" s="433" t="e">
        <f t="shared" si="49"/>
        <v>#DIV/0!</v>
      </c>
    </row>
    <row r="520" spans="1:11" ht="17.25" customHeight="1" hidden="1">
      <c r="A520" s="95" t="s">
        <v>1360</v>
      </c>
      <c r="B520" s="82" t="s">
        <v>1097</v>
      </c>
      <c r="C520" s="85" t="s">
        <v>584</v>
      </c>
      <c r="D520" s="85" t="s">
        <v>142</v>
      </c>
      <c r="E520" s="85" t="s">
        <v>936</v>
      </c>
      <c r="F520" s="85" t="s">
        <v>1361</v>
      </c>
      <c r="G520" s="90"/>
      <c r="H520" s="90"/>
      <c r="I520" s="422"/>
      <c r="J520" s="203" t="e">
        <f t="shared" si="52"/>
        <v>#DIV/0!</v>
      </c>
      <c r="K520" s="433" t="e">
        <f t="shared" si="49"/>
        <v>#DIV/0!</v>
      </c>
    </row>
    <row r="521" spans="1:11" ht="19.5" customHeight="1">
      <c r="A521" s="87" t="s">
        <v>661</v>
      </c>
      <c r="B521" s="82" t="s">
        <v>1097</v>
      </c>
      <c r="C521" s="85" t="s">
        <v>584</v>
      </c>
      <c r="D521" s="85" t="s">
        <v>142</v>
      </c>
      <c r="E521" s="85" t="s">
        <v>1894</v>
      </c>
      <c r="F521" s="85" t="s">
        <v>1071</v>
      </c>
      <c r="G521" s="90">
        <f aca="true" t="shared" si="53" ref="G521:I522">G522</f>
        <v>68970</v>
      </c>
      <c r="H521" s="90">
        <f t="shared" si="53"/>
        <v>70030</v>
      </c>
      <c r="I521" s="422">
        <f t="shared" si="53"/>
        <v>69809</v>
      </c>
      <c r="J521" s="203">
        <f t="shared" si="52"/>
        <v>101.21647092938959</v>
      </c>
      <c r="K521" s="433">
        <f t="shared" si="49"/>
        <v>99.68442096244466</v>
      </c>
    </row>
    <row r="522" spans="1:11" ht="18" customHeight="1">
      <c r="A522" s="87" t="s">
        <v>743</v>
      </c>
      <c r="B522" s="82" t="s">
        <v>1097</v>
      </c>
      <c r="C522" s="85" t="s">
        <v>584</v>
      </c>
      <c r="D522" s="85" t="s">
        <v>142</v>
      </c>
      <c r="E522" s="85" t="s">
        <v>1894</v>
      </c>
      <c r="F522" s="85" t="s">
        <v>744</v>
      </c>
      <c r="G522" s="90">
        <f t="shared" si="53"/>
        <v>68970</v>
      </c>
      <c r="H522" s="90">
        <f t="shared" si="53"/>
        <v>70030</v>
      </c>
      <c r="I522" s="422">
        <f t="shared" si="53"/>
        <v>69809</v>
      </c>
      <c r="J522" s="203">
        <f t="shared" si="52"/>
        <v>101.21647092938959</v>
      </c>
      <c r="K522" s="433">
        <f t="shared" si="49"/>
        <v>99.68442096244466</v>
      </c>
    </row>
    <row r="523" spans="1:11" ht="22.5" customHeight="1">
      <c r="A523" s="87" t="s">
        <v>745</v>
      </c>
      <c r="B523" s="82" t="s">
        <v>1097</v>
      </c>
      <c r="C523" s="85" t="s">
        <v>584</v>
      </c>
      <c r="D523" s="85" t="s">
        <v>142</v>
      </c>
      <c r="E523" s="85" t="s">
        <v>1894</v>
      </c>
      <c r="F523" s="85" t="s">
        <v>746</v>
      </c>
      <c r="G523" s="90">
        <v>68970</v>
      </c>
      <c r="H523" s="90">
        <f>68970+1060</f>
        <v>70030</v>
      </c>
      <c r="I523" s="422">
        <v>69809</v>
      </c>
      <c r="J523" s="203">
        <f t="shared" si="52"/>
        <v>101.21647092938959</v>
      </c>
      <c r="K523" s="433">
        <f t="shared" si="49"/>
        <v>99.68442096244466</v>
      </c>
    </row>
    <row r="524" spans="1:11" ht="20.25" customHeight="1" hidden="1">
      <c r="A524" s="87" t="s">
        <v>295</v>
      </c>
      <c r="B524" s="82" t="s">
        <v>1097</v>
      </c>
      <c r="C524" s="85" t="s">
        <v>584</v>
      </c>
      <c r="D524" s="85" t="s">
        <v>142</v>
      </c>
      <c r="E524" s="85" t="s">
        <v>1894</v>
      </c>
      <c r="F524" s="85" t="s">
        <v>296</v>
      </c>
      <c r="G524" s="90"/>
      <c r="H524" s="90"/>
      <c r="I524" s="422"/>
      <c r="J524" s="203" t="e">
        <f t="shared" si="52"/>
        <v>#DIV/0!</v>
      </c>
      <c r="K524" s="433" t="e">
        <f t="shared" si="49"/>
        <v>#DIV/0!</v>
      </c>
    </row>
    <row r="525" spans="1:11" ht="24" hidden="1">
      <c r="A525" s="87" t="s">
        <v>303</v>
      </c>
      <c r="B525" s="82" t="s">
        <v>1097</v>
      </c>
      <c r="C525" s="85" t="s">
        <v>584</v>
      </c>
      <c r="D525" s="85" t="s">
        <v>142</v>
      </c>
      <c r="E525" s="85" t="s">
        <v>1894</v>
      </c>
      <c r="F525" s="85" t="s">
        <v>304</v>
      </c>
      <c r="G525" s="90"/>
      <c r="H525" s="90"/>
      <c r="I525" s="422"/>
      <c r="J525" s="203" t="e">
        <f t="shared" si="52"/>
        <v>#DIV/0!</v>
      </c>
      <c r="K525" s="433" t="e">
        <f t="shared" si="49"/>
        <v>#DIV/0!</v>
      </c>
    </row>
    <row r="526" spans="1:11" ht="15">
      <c r="A526" s="91" t="s">
        <v>1306</v>
      </c>
      <c r="B526" s="82" t="s">
        <v>1097</v>
      </c>
      <c r="C526" s="85" t="s">
        <v>584</v>
      </c>
      <c r="D526" s="85" t="s">
        <v>584</v>
      </c>
      <c r="E526" s="85"/>
      <c r="F526" s="85"/>
      <c r="G526" s="90">
        <f>G527+G529+G560+G550+G556</f>
        <v>22584</v>
      </c>
      <c r="H526" s="90">
        <f>H527+H529+H560+H550+H556</f>
        <v>26720.6</v>
      </c>
      <c r="I526" s="422">
        <f>I527+I529+I560+I550+I556</f>
        <v>26239.2</v>
      </c>
      <c r="J526" s="203">
        <f t="shared" si="52"/>
        <v>116.18490967056323</v>
      </c>
      <c r="K526" s="433">
        <f t="shared" si="49"/>
        <v>98.19839374864337</v>
      </c>
    </row>
    <row r="527" spans="1:11" ht="48" hidden="1">
      <c r="A527" s="86" t="s">
        <v>1646</v>
      </c>
      <c r="B527" s="82" t="s">
        <v>1097</v>
      </c>
      <c r="C527" s="85" t="s">
        <v>584</v>
      </c>
      <c r="D527" s="85" t="s">
        <v>584</v>
      </c>
      <c r="E527" s="85" t="s">
        <v>1049</v>
      </c>
      <c r="F527" s="85"/>
      <c r="G527" s="90">
        <f>G528</f>
        <v>0</v>
      </c>
      <c r="H527" s="90">
        <f>H528</f>
        <v>0</v>
      </c>
      <c r="I527" s="422">
        <f>I528</f>
        <v>0</v>
      </c>
      <c r="J527" s="203" t="e">
        <f t="shared" si="52"/>
        <v>#DIV/0!</v>
      </c>
      <c r="K527" s="433" t="e">
        <f t="shared" si="49"/>
        <v>#DIV/0!</v>
      </c>
    </row>
    <row r="528" spans="1:11" ht="15.75" hidden="1">
      <c r="A528" s="92" t="s">
        <v>938</v>
      </c>
      <c r="B528" s="82" t="s">
        <v>1097</v>
      </c>
      <c r="C528" s="85" t="s">
        <v>584</v>
      </c>
      <c r="D528" s="85" t="s">
        <v>584</v>
      </c>
      <c r="E528" s="85" t="s">
        <v>1049</v>
      </c>
      <c r="F528" s="85" t="s">
        <v>1879</v>
      </c>
      <c r="G528" s="90"/>
      <c r="H528" s="90"/>
      <c r="I528" s="422"/>
      <c r="J528" s="203" t="e">
        <f t="shared" si="52"/>
        <v>#DIV/0!</v>
      </c>
      <c r="K528" s="433" t="e">
        <f t="shared" si="49"/>
        <v>#DIV/0!</v>
      </c>
    </row>
    <row r="529" spans="1:11" ht="24">
      <c r="A529" s="93" t="s">
        <v>1647</v>
      </c>
      <c r="B529" s="82" t="s">
        <v>1097</v>
      </c>
      <c r="C529" s="85" t="s">
        <v>584</v>
      </c>
      <c r="D529" s="85" t="s">
        <v>584</v>
      </c>
      <c r="E529" s="85" t="s">
        <v>1648</v>
      </c>
      <c r="F529" s="85"/>
      <c r="G529" s="90">
        <f>G530+G536+G538+G543+G545</f>
        <v>22584</v>
      </c>
      <c r="H529" s="90">
        <f>H530+H536+H538+H543+H545</f>
        <v>21973</v>
      </c>
      <c r="I529" s="422">
        <f>I530+I536+I538+I543+I545</f>
        <v>21518.5</v>
      </c>
      <c r="J529" s="203">
        <f t="shared" si="52"/>
        <v>95.282058094226</v>
      </c>
      <c r="K529" s="433">
        <f t="shared" si="49"/>
        <v>97.93155235971419</v>
      </c>
    </row>
    <row r="530" spans="1:11" ht="24">
      <c r="A530" s="87" t="s">
        <v>661</v>
      </c>
      <c r="B530" s="82" t="s">
        <v>1097</v>
      </c>
      <c r="C530" s="85" t="s">
        <v>584</v>
      </c>
      <c r="D530" s="85" t="s">
        <v>584</v>
      </c>
      <c r="E530" s="85" t="s">
        <v>1649</v>
      </c>
      <c r="F530" s="85" t="s">
        <v>1071</v>
      </c>
      <c r="G530" s="90">
        <f>G531+G532+G533</f>
        <v>2000</v>
      </c>
      <c r="H530" s="90">
        <f>H531+H532</f>
        <v>0</v>
      </c>
      <c r="I530" s="422">
        <f>I531+I532</f>
        <v>0</v>
      </c>
      <c r="J530" s="203">
        <f t="shared" si="52"/>
        <v>0</v>
      </c>
      <c r="K530" s="433"/>
    </row>
    <row r="531" spans="1:11" ht="19.5" customHeight="1" hidden="1">
      <c r="A531" s="87" t="s">
        <v>1758</v>
      </c>
      <c r="B531" s="82" t="s">
        <v>1097</v>
      </c>
      <c r="C531" s="85" t="s">
        <v>584</v>
      </c>
      <c r="D531" s="85" t="s">
        <v>584</v>
      </c>
      <c r="E531" s="85" t="s">
        <v>1649</v>
      </c>
      <c r="F531" s="85" t="s">
        <v>1878</v>
      </c>
      <c r="G531" s="90">
        <v>0</v>
      </c>
      <c r="H531" s="90">
        <v>0</v>
      </c>
      <c r="I531" s="422"/>
      <c r="J531" s="203" t="e">
        <f t="shared" si="52"/>
        <v>#DIV/0!</v>
      </c>
      <c r="K531" s="433"/>
    </row>
    <row r="532" spans="1:11" ht="19.5" customHeight="1" hidden="1">
      <c r="A532" s="87" t="s">
        <v>171</v>
      </c>
      <c r="B532" s="82" t="s">
        <v>1097</v>
      </c>
      <c r="C532" s="85" t="s">
        <v>584</v>
      </c>
      <c r="D532" s="85" t="s">
        <v>584</v>
      </c>
      <c r="E532" s="85" t="s">
        <v>1649</v>
      </c>
      <c r="F532" s="85" t="s">
        <v>436</v>
      </c>
      <c r="G532" s="90"/>
      <c r="H532" s="90"/>
      <c r="I532" s="422"/>
      <c r="J532" s="203" t="e">
        <f t="shared" si="52"/>
        <v>#DIV/0!</v>
      </c>
      <c r="K532" s="433"/>
    </row>
    <row r="533" spans="1:11" ht="19.5" customHeight="1">
      <c r="A533" s="87" t="s">
        <v>743</v>
      </c>
      <c r="B533" s="82" t="s">
        <v>1097</v>
      </c>
      <c r="C533" s="85" t="s">
        <v>584</v>
      </c>
      <c r="D533" s="85" t="s">
        <v>584</v>
      </c>
      <c r="E533" s="85" t="s">
        <v>1649</v>
      </c>
      <c r="F533" s="85" t="s">
        <v>744</v>
      </c>
      <c r="G533" s="90">
        <f>G534</f>
        <v>2000</v>
      </c>
      <c r="H533" s="90"/>
      <c r="I533" s="422"/>
      <c r="J533" s="203">
        <f t="shared" si="52"/>
        <v>0</v>
      </c>
      <c r="K533" s="433"/>
    </row>
    <row r="534" spans="1:11" ht="19.5" customHeight="1">
      <c r="A534" s="87" t="s">
        <v>1167</v>
      </c>
      <c r="B534" s="82" t="s">
        <v>1097</v>
      </c>
      <c r="C534" s="85" t="s">
        <v>584</v>
      </c>
      <c r="D534" s="85" t="s">
        <v>584</v>
      </c>
      <c r="E534" s="85" t="s">
        <v>1649</v>
      </c>
      <c r="F534" s="85" t="s">
        <v>1637</v>
      </c>
      <c r="G534" s="90">
        <f>G535</f>
        <v>2000</v>
      </c>
      <c r="H534" s="90"/>
      <c r="I534" s="422"/>
      <c r="J534" s="203">
        <f t="shared" si="52"/>
        <v>0</v>
      </c>
      <c r="K534" s="433"/>
    </row>
    <row r="535" spans="1:11" ht="22.5" customHeight="1">
      <c r="A535" s="87" t="s">
        <v>1895</v>
      </c>
      <c r="B535" s="82" t="s">
        <v>1097</v>
      </c>
      <c r="C535" s="85" t="s">
        <v>584</v>
      </c>
      <c r="D535" s="85" t="s">
        <v>584</v>
      </c>
      <c r="E535" s="85" t="s">
        <v>1649</v>
      </c>
      <c r="F535" s="85" t="s">
        <v>1637</v>
      </c>
      <c r="G535" s="90">
        <v>2000</v>
      </c>
      <c r="H535" s="90"/>
      <c r="I535" s="422"/>
      <c r="J535" s="203">
        <f t="shared" si="52"/>
        <v>0</v>
      </c>
      <c r="K535" s="433"/>
    </row>
    <row r="536" spans="1:11" ht="21" customHeight="1" hidden="1">
      <c r="A536" s="87" t="s">
        <v>1356</v>
      </c>
      <c r="B536" s="82" t="s">
        <v>1097</v>
      </c>
      <c r="C536" s="85" t="s">
        <v>584</v>
      </c>
      <c r="D536" s="85" t="s">
        <v>584</v>
      </c>
      <c r="E536" s="85" t="s">
        <v>1357</v>
      </c>
      <c r="F536" s="85"/>
      <c r="G536" s="90">
        <f>G537</f>
        <v>0</v>
      </c>
      <c r="H536" s="90">
        <f>H537</f>
        <v>0</v>
      </c>
      <c r="I536" s="422">
        <f>I537</f>
        <v>0</v>
      </c>
      <c r="J536" s="203" t="e">
        <f t="shared" si="52"/>
        <v>#DIV/0!</v>
      </c>
      <c r="K536" s="433" t="e">
        <f t="shared" si="49"/>
        <v>#DIV/0!</v>
      </c>
    </row>
    <row r="537" spans="1:11" ht="19.5" customHeight="1" hidden="1">
      <c r="A537" s="87" t="s">
        <v>540</v>
      </c>
      <c r="B537" s="82" t="s">
        <v>1097</v>
      </c>
      <c r="C537" s="85" t="s">
        <v>584</v>
      </c>
      <c r="D537" s="85" t="s">
        <v>584</v>
      </c>
      <c r="E537" s="85" t="s">
        <v>1357</v>
      </c>
      <c r="F537" s="85" t="s">
        <v>541</v>
      </c>
      <c r="G537" s="90">
        <f>1404-1404</f>
        <v>0</v>
      </c>
      <c r="H537" s="90">
        <f>1404-1404</f>
        <v>0</v>
      </c>
      <c r="I537" s="422">
        <f>1404-1404</f>
        <v>0</v>
      </c>
      <c r="J537" s="203" t="e">
        <f t="shared" si="52"/>
        <v>#DIV/0!</v>
      </c>
      <c r="K537" s="433" t="e">
        <f t="shared" si="49"/>
        <v>#DIV/0!</v>
      </c>
    </row>
    <row r="538" spans="1:11" ht="19.5" customHeight="1" hidden="1">
      <c r="A538" s="87" t="s">
        <v>661</v>
      </c>
      <c r="B538" s="82" t="s">
        <v>1097</v>
      </c>
      <c r="C538" s="85" t="s">
        <v>584</v>
      </c>
      <c r="D538" s="85" t="s">
        <v>584</v>
      </c>
      <c r="E538" s="85" t="s">
        <v>1649</v>
      </c>
      <c r="F538" s="85"/>
      <c r="G538" s="90">
        <f>G539</f>
        <v>0</v>
      </c>
      <c r="H538" s="90">
        <f>H539</f>
        <v>0</v>
      </c>
      <c r="I538" s="422">
        <f>I539</f>
        <v>0</v>
      </c>
      <c r="J538" s="203" t="e">
        <f t="shared" si="52"/>
        <v>#DIV/0!</v>
      </c>
      <c r="K538" s="433" t="e">
        <f t="shared" si="49"/>
        <v>#DIV/0!</v>
      </c>
    </row>
    <row r="539" spans="1:11" ht="21" customHeight="1" hidden="1">
      <c r="A539" s="87" t="s">
        <v>743</v>
      </c>
      <c r="B539" s="82" t="s">
        <v>1097</v>
      </c>
      <c r="C539" s="85" t="s">
        <v>584</v>
      </c>
      <c r="D539" s="85" t="s">
        <v>584</v>
      </c>
      <c r="E539" s="85" t="s">
        <v>1649</v>
      </c>
      <c r="F539" s="85" t="s">
        <v>744</v>
      </c>
      <c r="G539" s="90">
        <f>G541</f>
        <v>0</v>
      </c>
      <c r="H539" s="90">
        <f>H541</f>
        <v>0</v>
      </c>
      <c r="I539" s="422">
        <f>I541</f>
        <v>0</v>
      </c>
      <c r="J539" s="203" t="e">
        <f t="shared" si="52"/>
        <v>#DIV/0!</v>
      </c>
      <c r="K539" s="433" t="e">
        <f t="shared" si="49"/>
        <v>#DIV/0!</v>
      </c>
    </row>
    <row r="540" spans="1:11" ht="18.75" customHeight="1" hidden="1">
      <c r="A540" s="87" t="s">
        <v>745</v>
      </c>
      <c r="B540" s="82" t="s">
        <v>1097</v>
      </c>
      <c r="C540" s="85" t="s">
        <v>584</v>
      </c>
      <c r="D540" s="85" t="s">
        <v>584</v>
      </c>
      <c r="E540" s="85" t="s">
        <v>1649</v>
      </c>
      <c r="F540" s="85" t="s">
        <v>746</v>
      </c>
      <c r="G540" s="90"/>
      <c r="H540" s="90"/>
      <c r="I540" s="422"/>
      <c r="J540" s="203" t="e">
        <f t="shared" si="52"/>
        <v>#DIV/0!</v>
      </c>
      <c r="K540" s="433" t="e">
        <f t="shared" si="49"/>
        <v>#DIV/0!</v>
      </c>
    </row>
    <row r="541" spans="1:11" ht="17.25" customHeight="1" hidden="1">
      <c r="A541" s="87" t="s">
        <v>1167</v>
      </c>
      <c r="B541" s="82" t="s">
        <v>1097</v>
      </c>
      <c r="C541" s="85" t="s">
        <v>584</v>
      </c>
      <c r="D541" s="85" t="s">
        <v>584</v>
      </c>
      <c r="E541" s="85" t="s">
        <v>1649</v>
      </c>
      <c r="F541" s="85" t="s">
        <v>1637</v>
      </c>
      <c r="G541" s="90">
        <f>G542</f>
        <v>0</v>
      </c>
      <c r="H541" s="90">
        <f>H542</f>
        <v>0</v>
      </c>
      <c r="I541" s="422">
        <f>I542</f>
        <v>0</v>
      </c>
      <c r="J541" s="203" t="e">
        <f t="shared" si="52"/>
        <v>#DIV/0!</v>
      </c>
      <c r="K541" s="433" t="e">
        <f t="shared" si="49"/>
        <v>#DIV/0!</v>
      </c>
    </row>
    <row r="542" spans="1:11" ht="24" hidden="1">
      <c r="A542" s="87" t="s">
        <v>1356</v>
      </c>
      <c r="B542" s="82" t="s">
        <v>1097</v>
      </c>
      <c r="C542" s="85" t="s">
        <v>584</v>
      </c>
      <c r="D542" s="85" t="s">
        <v>584</v>
      </c>
      <c r="E542" s="85" t="s">
        <v>1357</v>
      </c>
      <c r="F542" s="85" t="s">
        <v>1637</v>
      </c>
      <c r="G542" s="90">
        <v>0</v>
      </c>
      <c r="H542" s="90">
        <v>0</v>
      </c>
      <c r="I542" s="422"/>
      <c r="J542" s="203" t="e">
        <f t="shared" si="52"/>
        <v>#DIV/0!</v>
      </c>
      <c r="K542" s="433" t="e">
        <f t="shared" si="49"/>
        <v>#DIV/0!</v>
      </c>
    </row>
    <row r="543" spans="1:11" ht="36">
      <c r="A543" s="87" t="s">
        <v>1168</v>
      </c>
      <c r="B543" s="82" t="s">
        <v>1097</v>
      </c>
      <c r="C543" s="85" t="s">
        <v>584</v>
      </c>
      <c r="D543" s="85" t="s">
        <v>584</v>
      </c>
      <c r="E543" s="85" t="s">
        <v>1169</v>
      </c>
      <c r="F543" s="85" t="s">
        <v>1071</v>
      </c>
      <c r="G543" s="90">
        <f>G544</f>
        <v>0</v>
      </c>
      <c r="H543" s="90">
        <f>H544</f>
        <v>4096</v>
      </c>
      <c r="I543" s="422">
        <f>I544</f>
        <v>4096</v>
      </c>
      <c r="J543" s="203"/>
      <c r="K543" s="433">
        <f t="shared" si="49"/>
        <v>100</v>
      </c>
    </row>
    <row r="544" spans="1:11" ht="24">
      <c r="A544" s="87" t="s">
        <v>745</v>
      </c>
      <c r="B544" s="82" t="s">
        <v>1097</v>
      </c>
      <c r="C544" s="85" t="s">
        <v>584</v>
      </c>
      <c r="D544" s="85" t="s">
        <v>584</v>
      </c>
      <c r="E544" s="85" t="s">
        <v>1169</v>
      </c>
      <c r="F544" s="85" t="s">
        <v>746</v>
      </c>
      <c r="G544" s="90"/>
      <c r="H544" s="90">
        <v>4096</v>
      </c>
      <c r="I544" s="422">
        <v>4096</v>
      </c>
      <c r="J544" s="203"/>
      <c r="K544" s="433">
        <f t="shared" si="49"/>
        <v>100</v>
      </c>
    </row>
    <row r="545" spans="1:11" ht="24">
      <c r="A545" s="87" t="s">
        <v>661</v>
      </c>
      <c r="B545" s="82" t="s">
        <v>1097</v>
      </c>
      <c r="C545" s="85" t="s">
        <v>584</v>
      </c>
      <c r="D545" s="85" t="s">
        <v>584</v>
      </c>
      <c r="E545" s="85" t="s">
        <v>1047</v>
      </c>
      <c r="F545" s="85" t="s">
        <v>1071</v>
      </c>
      <c r="G545" s="90">
        <f>G546</f>
        <v>20584</v>
      </c>
      <c r="H545" s="90">
        <f>H546</f>
        <v>17877</v>
      </c>
      <c r="I545" s="422">
        <f>I546</f>
        <v>17422.5</v>
      </c>
      <c r="J545" s="203">
        <f>I545/G545*100</f>
        <v>84.64098328799066</v>
      </c>
      <c r="K545" s="433">
        <f t="shared" si="49"/>
        <v>97.45762711864407</v>
      </c>
    </row>
    <row r="546" spans="1:11" ht="24">
      <c r="A546" s="87" t="s">
        <v>743</v>
      </c>
      <c r="B546" s="82" t="s">
        <v>1097</v>
      </c>
      <c r="C546" s="85" t="s">
        <v>584</v>
      </c>
      <c r="D546" s="85" t="s">
        <v>584</v>
      </c>
      <c r="E546" s="85" t="s">
        <v>1047</v>
      </c>
      <c r="F546" s="85" t="s">
        <v>744</v>
      </c>
      <c r="G546" s="90">
        <f>G547+G548</f>
        <v>20584</v>
      </c>
      <c r="H546" s="90">
        <f>H547+H548</f>
        <v>17877</v>
      </c>
      <c r="I546" s="422">
        <f>I547+I548</f>
        <v>17422.5</v>
      </c>
      <c r="J546" s="203">
        <f>I546/G546*100</f>
        <v>84.64098328799066</v>
      </c>
      <c r="K546" s="433">
        <f t="shared" si="49"/>
        <v>97.45762711864407</v>
      </c>
    </row>
    <row r="547" spans="1:11" ht="24">
      <c r="A547" s="87" t="s">
        <v>745</v>
      </c>
      <c r="B547" s="82" t="s">
        <v>1097</v>
      </c>
      <c r="C547" s="85" t="s">
        <v>584</v>
      </c>
      <c r="D547" s="85" t="s">
        <v>584</v>
      </c>
      <c r="E547" s="85" t="s">
        <v>1047</v>
      </c>
      <c r="F547" s="85" t="s">
        <v>746</v>
      </c>
      <c r="G547" s="90">
        <v>20584</v>
      </c>
      <c r="H547" s="90">
        <f>20584-817-3103.7-235.4-1890-992.3</f>
        <v>13545.599999999999</v>
      </c>
      <c r="I547" s="422">
        <v>13454.2</v>
      </c>
      <c r="J547" s="203">
        <f>I547/G547*100</f>
        <v>65.36241741158182</v>
      </c>
      <c r="K547" s="433">
        <f t="shared" si="49"/>
        <v>99.32524214505081</v>
      </c>
    </row>
    <row r="548" spans="1:11" ht="24">
      <c r="A548" s="87" t="s">
        <v>1640</v>
      </c>
      <c r="B548" s="82" t="s">
        <v>1097</v>
      </c>
      <c r="C548" s="85" t="s">
        <v>584</v>
      </c>
      <c r="D548" s="85" t="s">
        <v>584</v>
      </c>
      <c r="E548" s="85" t="s">
        <v>1047</v>
      </c>
      <c r="F548" s="85" t="s">
        <v>1637</v>
      </c>
      <c r="G548" s="90">
        <f>G549+G552+G553+G554+G555</f>
        <v>0</v>
      </c>
      <c r="H548" s="90">
        <f>H549+H552+H553+H554+H555</f>
        <v>4331.4</v>
      </c>
      <c r="I548" s="422">
        <f>I549+I552+I553+I554+I555</f>
        <v>3968.3</v>
      </c>
      <c r="J548" s="203"/>
      <c r="K548" s="433">
        <f t="shared" si="49"/>
        <v>91.61702913607611</v>
      </c>
    </row>
    <row r="549" spans="1:11" ht="24">
      <c r="A549" s="87" t="s">
        <v>1171</v>
      </c>
      <c r="B549" s="82" t="s">
        <v>1097</v>
      </c>
      <c r="C549" s="85" t="s">
        <v>584</v>
      </c>
      <c r="D549" s="85" t="s">
        <v>584</v>
      </c>
      <c r="E549" s="85" t="s">
        <v>1047</v>
      </c>
      <c r="F549" s="85" t="s">
        <v>1637</v>
      </c>
      <c r="G549" s="90"/>
      <c r="H549" s="90">
        <v>2450.6</v>
      </c>
      <c r="I549" s="422">
        <v>2450.6</v>
      </c>
      <c r="J549" s="203"/>
      <c r="K549" s="433">
        <f t="shared" si="49"/>
        <v>100</v>
      </c>
    </row>
    <row r="550" spans="1:11" ht="15.75" hidden="1">
      <c r="A550" s="93" t="s">
        <v>287</v>
      </c>
      <c r="B550" s="82" t="s">
        <v>1097</v>
      </c>
      <c r="C550" s="85" t="s">
        <v>584</v>
      </c>
      <c r="D550" s="85" t="s">
        <v>584</v>
      </c>
      <c r="E550" s="85" t="s">
        <v>580</v>
      </c>
      <c r="F550" s="85"/>
      <c r="G550" s="90">
        <f>G551</f>
        <v>0</v>
      </c>
      <c r="H550" s="90">
        <f>H551</f>
        <v>0</v>
      </c>
      <c r="I550" s="422">
        <f>I551</f>
        <v>0</v>
      </c>
      <c r="J550" s="203"/>
      <c r="K550" s="433" t="e">
        <f t="shared" si="49"/>
        <v>#DIV/0!</v>
      </c>
    </row>
    <row r="551" spans="1:11" ht="15.75" hidden="1">
      <c r="A551" s="87" t="s">
        <v>925</v>
      </c>
      <c r="B551" s="82" t="s">
        <v>1097</v>
      </c>
      <c r="C551" s="85" t="s">
        <v>584</v>
      </c>
      <c r="D551" s="85" t="s">
        <v>584</v>
      </c>
      <c r="E551" s="85" t="s">
        <v>580</v>
      </c>
      <c r="F551" s="85" t="s">
        <v>926</v>
      </c>
      <c r="G551" s="90"/>
      <c r="H551" s="90"/>
      <c r="I551" s="422"/>
      <c r="J551" s="203"/>
      <c r="K551" s="433" t="e">
        <f t="shared" si="49"/>
        <v>#DIV/0!</v>
      </c>
    </row>
    <row r="552" spans="1:11" ht="36">
      <c r="A552" s="87" t="s">
        <v>1172</v>
      </c>
      <c r="B552" s="82" t="s">
        <v>1097</v>
      </c>
      <c r="C552" s="85" t="s">
        <v>584</v>
      </c>
      <c r="D552" s="85" t="s">
        <v>584</v>
      </c>
      <c r="E552" s="85" t="s">
        <v>1047</v>
      </c>
      <c r="F552" s="85" t="s">
        <v>1637</v>
      </c>
      <c r="G552" s="90"/>
      <c r="H552" s="90">
        <f>327.5+136.1</f>
        <v>463.6</v>
      </c>
      <c r="I552" s="422">
        <v>183.9</v>
      </c>
      <c r="J552" s="203"/>
      <c r="K552" s="433">
        <f t="shared" si="49"/>
        <v>39.66781708369284</v>
      </c>
    </row>
    <row r="553" spans="1:11" ht="48">
      <c r="A553" s="87" t="s">
        <v>1173</v>
      </c>
      <c r="B553" s="82" t="s">
        <v>1097</v>
      </c>
      <c r="C553" s="85" t="s">
        <v>584</v>
      </c>
      <c r="D553" s="85" t="s">
        <v>584</v>
      </c>
      <c r="E553" s="85" t="s">
        <v>1047</v>
      </c>
      <c r="F553" s="85" t="s">
        <v>1637</v>
      </c>
      <c r="G553" s="90"/>
      <c r="H553" s="90">
        <f>231.8+70.2</f>
        <v>302</v>
      </c>
      <c r="I553" s="422">
        <v>281</v>
      </c>
      <c r="J553" s="203"/>
      <c r="K553" s="433">
        <f t="shared" si="49"/>
        <v>93.04635761589404</v>
      </c>
    </row>
    <row r="554" spans="1:11" ht="24">
      <c r="A554" s="87" t="s">
        <v>1641</v>
      </c>
      <c r="B554" s="82" t="s">
        <v>1097</v>
      </c>
      <c r="C554" s="85" t="s">
        <v>584</v>
      </c>
      <c r="D554" s="85" t="s">
        <v>584</v>
      </c>
      <c r="E554" s="85" t="s">
        <v>1047</v>
      </c>
      <c r="F554" s="85" t="s">
        <v>1637</v>
      </c>
      <c r="G554" s="90"/>
      <c r="H554" s="90">
        <f>93.8+786</f>
        <v>879.8</v>
      </c>
      <c r="I554" s="422">
        <v>817.4</v>
      </c>
      <c r="J554" s="203"/>
      <c r="K554" s="433">
        <f t="shared" si="49"/>
        <v>92.90747897249375</v>
      </c>
    </row>
    <row r="555" spans="1:11" ht="24">
      <c r="A555" s="358" t="s">
        <v>1595</v>
      </c>
      <c r="B555" s="82" t="s">
        <v>1097</v>
      </c>
      <c r="C555" s="85" t="s">
        <v>584</v>
      </c>
      <c r="D555" s="85" t="s">
        <v>584</v>
      </c>
      <c r="E555" s="85" t="s">
        <v>1047</v>
      </c>
      <c r="F555" s="85" t="s">
        <v>1637</v>
      </c>
      <c r="G555" s="90"/>
      <c r="H555" s="90">
        <v>235.4</v>
      </c>
      <c r="I555" s="422">
        <v>235.4</v>
      </c>
      <c r="J555" s="203"/>
      <c r="K555" s="433">
        <f t="shared" si="49"/>
        <v>100</v>
      </c>
    </row>
    <row r="556" spans="1:11" ht="24">
      <c r="A556" s="360" t="s">
        <v>1664</v>
      </c>
      <c r="B556" s="82" t="s">
        <v>1097</v>
      </c>
      <c r="C556" s="85" t="s">
        <v>584</v>
      </c>
      <c r="D556" s="85" t="s">
        <v>584</v>
      </c>
      <c r="E556" s="109" t="s">
        <v>1665</v>
      </c>
      <c r="F556" s="85" t="s">
        <v>1071</v>
      </c>
      <c r="G556" s="90">
        <f>G557</f>
        <v>0</v>
      </c>
      <c r="H556" s="90">
        <f>H557</f>
        <v>900</v>
      </c>
      <c r="I556" s="422">
        <f>I557</f>
        <v>897.4</v>
      </c>
      <c r="J556" s="203"/>
      <c r="K556" s="433">
        <f t="shared" si="49"/>
        <v>99.71111111111111</v>
      </c>
    </row>
    <row r="557" spans="1:11" ht="15">
      <c r="A557" s="87" t="s">
        <v>1640</v>
      </c>
      <c r="B557" s="82" t="s">
        <v>1097</v>
      </c>
      <c r="C557" s="85" t="s">
        <v>584</v>
      </c>
      <c r="D557" s="85" t="s">
        <v>584</v>
      </c>
      <c r="E557" s="109" t="s">
        <v>1665</v>
      </c>
      <c r="F557" s="85" t="s">
        <v>1637</v>
      </c>
      <c r="G557" s="90">
        <f>G558+G559</f>
        <v>0</v>
      </c>
      <c r="H557" s="90">
        <f>H558+H559</f>
        <v>900</v>
      </c>
      <c r="I557" s="422">
        <f>I558+I559</f>
        <v>897.4</v>
      </c>
      <c r="J557" s="203"/>
      <c r="K557" s="433">
        <f t="shared" si="49"/>
        <v>99.71111111111111</v>
      </c>
    </row>
    <row r="558" spans="1:11" ht="24">
      <c r="A558" s="87" t="s">
        <v>1175</v>
      </c>
      <c r="B558" s="82" t="s">
        <v>1097</v>
      </c>
      <c r="C558" s="85" t="s">
        <v>584</v>
      </c>
      <c r="D558" s="85" t="s">
        <v>584</v>
      </c>
      <c r="E558" s="109" t="s">
        <v>1665</v>
      </c>
      <c r="F558" s="85" t="s">
        <v>1637</v>
      </c>
      <c r="G558" s="90"/>
      <c r="H558" s="90">
        <v>150</v>
      </c>
      <c r="I558" s="422">
        <v>150</v>
      </c>
      <c r="J558" s="203"/>
      <c r="K558" s="433">
        <f t="shared" si="49"/>
        <v>100</v>
      </c>
    </row>
    <row r="559" spans="1:11" ht="24">
      <c r="A559" s="87" t="s">
        <v>1260</v>
      </c>
      <c r="B559" s="82" t="s">
        <v>1097</v>
      </c>
      <c r="C559" s="85" t="s">
        <v>584</v>
      </c>
      <c r="D559" s="85" t="s">
        <v>584</v>
      </c>
      <c r="E559" s="109" t="s">
        <v>1665</v>
      </c>
      <c r="F559" s="85" t="s">
        <v>1637</v>
      </c>
      <c r="G559" s="90"/>
      <c r="H559" s="90">
        <v>750</v>
      </c>
      <c r="I559" s="422">
        <v>747.4</v>
      </c>
      <c r="J559" s="203"/>
      <c r="K559" s="433">
        <f t="shared" si="49"/>
        <v>99.65333333333332</v>
      </c>
    </row>
    <row r="560" spans="1:11" ht="24">
      <c r="A560" s="86" t="s">
        <v>909</v>
      </c>
      <c r="B560" s="82" t="s">
        <v>1097</v>
      </c>
      <c r="C560" s="85" t="s">
        <v>584</v>
      </c>
      <c r="D560" s="85" t="s">
        <v>584</v>
      </c>
      <c r="E560" s="85" t="s">
        <v>910</v>
      </c>
      <c r="F560" s="85"/>
      <c r="G560" s="90">
        <f>G561+G568</f>
        <v>0</v>
      </c>
      <c r="H560" s="90">
        <f>H561+H568</f>
        <v>3847.6000000000004</v>
      </c>
      <c r="I560" s="422">
        <f>I561+I568</f>
        <v>3823.3</v>
      </c>
      <c r="J560" s="203"/>
      <c r="K560" s="433">
        <f t="shared" si="49"/>
        <v>99.36843746751222</v>
      </c>
    </row>
    <row r="561" spans="1:11" ht="36">
      <c r="A561" s="95" t="s">
        <v>1183</v>
      </c>
      <c r="B561" s="82" t="s">
        <v>1097</v>
      </c>
      <c r="C561" s="85" t="s">
        <v>584</v>
      </c>
      <c r="D561" s="85" t="s">
        <v>584</v>
      </c>
      <c r="E561" s="85" t="s">
        <v>1184</v>
      </c>
      <c r="F561" s="85" t="s">
        <v>1071</v>
      </c>
      <c r="G561" s="90">
        <f>G562+G565</f>
        <v>0</v>
      </c>
      <c r="H561" s="90">
        <f>H562+H565</f>
        <v>1105.6000000000001</v>
      </c>
      <c r="I561" s="422">
        <f>I562+I565</f>
        <v>1092.7</v>
      </c>
      <c r="J561" s="203"/>
      <c r="K561" s="433">
        <f t="shared" si="49"/>
        <v>98.83321273516643</v>
      </c>
    </row>
    <row r="562" spans="1:11" ht="24">
      <c r="A562" s="87" t="s">
        <v>743</v>
      </c>
      <c r="B562" s="82" t="s">
        <v>1097</v>
      </c>
      <c r="C562" s="85" t="s">
        <v>584</v>
      </c>
      <c r="D562" s="85" t="s">
        <v>584</v>
      </c>
      <c r="E562" s="85" t="s">
        <v>1184</v>
      </c>
      <c r="F562" s="85" t="s">
        <v>744</v>
      </c>
      <c r="G562" s="90">
        <f aca="true" t="shared" si="54" ref="G562:I563">G563</f>
        <v>0</v>
      </c>
      <c r="H562" s="90">
        <f t="shared" si="54"/>
        <v>945.7</v>
      </c>
      <c r="I562" s="422">
        <f t="shared" si="54"/>
        <v>932.8</v>
      </c>
      <c r="J562" s="203"/>
      <c r="K562" s="433">
        <f t="shared" si="49"/>
        <v>98.63593105636036</v>
      </c>
    </row>
    <row r="563" spans="1:11" ht="24">
      <c r="A563" s="87" t="s">
        <v>1640</v>
      </c>
      <c r="B563" s="82" t="s">
        <v>1097</v>
      </c>
      <c r="C563" s="85" t="s">
        <v>584</v>
      </c>
      <c r="D563" s="85" t="s">
        <v>584</v>
      </c>
      <c r="E563" s="85" t="s">
        <v>1184</v>
      </c>
      <c r="F563" s="85" t="s">
        <v>1637</v>
      </c>
      <c r="G563" s="90">
        <f t="shared" si="54"/>
        <v>0</v>
      </c>
      <c r="H563" s="90">
        <f t="shared" si="54"/>
        <v>945.7</v>
      </c>
      <c r="I563" s="422">
        <f t="shared" si="54"/>
        <v>932.8</v>
      </c>
      <c r="J563" s="203"/>
      <c r="K563" s="433">
        <f t="shared" si="49"/>
        <v>98.63593105636036</v>
      </c>
    </row>
    <row r="564" spans="1:11" ht="24">
      <c r="A564" s="87" t="s">
        <v>1185</v>
      </c>
      <c r="B564" s="82" t="s">
        <v>1097</v>
      </c>
      <c r="C564" s="85" t="s">
        <v>584</v>
      </c>
      <c r="D564" s="85" t="s">
        <v>584</v>
      </c>
      <c r="E564" s="85" t="s">
        <v>1184</v>
      </c>
      <c r="F564" s="85" t="s">
        <v>1637</v>
      </c>
      <c r="G564" s="90"/>
      <c r="H564" s="90">
        <f>945.7</f>
        <v>945.7</v>
      </c>
      <c r="I564" s="422">
        <v>932.8</v>
      </c>
      <c r="J564" s="203"/>
      <c r="K564" s="433">
        <f t="shared" si="49"/>
        <v>98.63593105636036</v>
      </c>
    </row>
    <row r="565" spans="1:11" ht="24">
      <c r="A565" s="87" t="s">
        <v>302</v>
      </c>
      <c r="B565" s="82" t="s">
        <v>1097</v>
      </c>
      <c r="C565" s="85" t="s">
        <v>584</v>
      </c>
      <c r="D565" s="85" t="s">
        <v>584</v>
      </c>
      <c r="E565" s="85" t="s">
        <v>1184</v>
      </c>
      <c r="F565" s="85" t="s">
        <v>296</v>
      </c>
      <c r="G565" s="90">
        <f aca="true" t="shared" si="55" ref="G565:I566">G566</f>
        <v>0</v>
      </c>
      <c r="H565" s="90">
        <f t="shared" si="55"/>
        <v>159.9</v>
      </c>
      <c r="I565" s="422">
        <f t="shared" si="55"/>
        <v>159.9</v>
      </c>
      <c r="J565" s="203"/>
      <c r="K565" s="433">
        <f t="shared" si="49"/>
        <v>100</v>
      </c>
    </row>
    <row r="566" spans="1:11" ht="24">
      <c r="A566" s="87" t="s">
        <v>305</v>
      </c>
      <c r="B566" s="82" t="s">
        <v>1097</v>
      </c>
      <c r="C566" s="85" t="s">
        <v>584</v>
      </c>
      <c r="D566" s="85" t="s">
        <v>584</v>
      </c>
      <c r="E566" s="85" t="s">
        <v>1184</v>
      </c>
      <c r="F566" s="85" t="s">
        <v>801</v>
      </c>
      <c r="G566" s="90">
        <f t="shared" si="55"/>
        <v>0</v>
      </c>
      <c r="H566" s="90">
        <f t="shared" si="55"/>
        <v>159.9</v>
      </c>
      <c r="I566" s="422">
        <f t="shared" si="55"/>
        <v>159.9</v>
      </c>
      <c r="J566" s="203"/>
      <c r="K566" s="433">
        <f t="shared" si="49"/>
        <v>100</v>
      </c>
    </row>
    <row r="567" spans="1:11" ht="24">
      <c r="A567" s="87" t="s">
        <v>1186</v>
      </c>
      <c r="B567" s="82" t="s">
        <v>1097</v>
      </c>
      <c r="C567" s="85" t="s">
        <v>584</v>
      </c>
      <c r="D567" s="85" t="s">
        <v>584</v>
      </c>
      <c r="E567" s="85" t="s">
        <v>1184</v>
      </c>
      <c r="F567" s="85" t="s">
        <v>801</v>
      </c>
      <c r="G567" s="90"/>
      <c r="H567" s="90">
        <f>110.3+49.6</f>
        <v>159.9</v>
      </c>
      <c r="I567" s="422">
        <v>159.9</v>
      </c>
      <c r="J567" s="203"/>
      <c r="K567" s="433">
        <f t="shared" si="49"/>
        <v>100</v>
      </c>
    </row>
    <row r="568" spans="1:11" ht="24">
      <c r="A568" s="87" t="s">
        <v>1187</v>
      </c>
      <c r="B568" s="82" t="s">
        <v>1097</v>
      </c>
      <c r="C568" s="85" t="s">
        <v>584</v>
      </c>
      <c r="D568" s="85" t="s">
        <v>584</v>
      </c>
      <c r="E568" s="85" t="s">
        <v>1188</v>
      </c>
      <c r="F568" s="85" t="s">
        <v>1071</v>
      </c>
      <c r="G568" s="90">
        <f aca="true" t="shared" si="56" ref="G568:I570">G569</f>
        <v>0</v>
      </c>
      <c r="H568" s="90">
        <f t="shared" si="56"/>
        <v>2742</v>
      </c>
      <c r="I568" s="422">
        <f t="shared" si="56"/>
        <v>2730.6</v>
      </c>
      <c r="J568" s="203"/>
      <c r="K568" s="433">
        <f t="shared" si="49"/>
        <v>99.58424507658643</v>
      </c>
    </row>
    <row r="569" spans="1:11" ht="19.5" customHeight="1">
      <c r="A569" s="87" t="s">
        <v>743</v>
      </c>
      <c r="B569" s="82" t="s">
        <v>1097</v>
      </c>
      <c r="C569" s="85" t="s">
        <v>584</v>
      </c>
      <c r="D569" s="85" t="s">
        <v>584</v>
      </c>
      <c r="E569" s="85" t="s">
        <v>1188</v>
      </c>
      <c r="F569" s="85" t="s">
        <v>744</v>
      </c>
      <c r="G569" s="90">
        <f t="shared" si="56"/>
        <v>0</v>
      </c>
      <c r="H569" s="90">
        <f t="shared" si="56"/>
        <v>2742</v>
      </c>
      <c r="I569" s="422">
        <f t="shared" si="56"/>
        <v>2730.6</v>
      </c>
      <c r="J569" s="203"/>
      <c r="K569" s="433">
        <f t="shared" si="49"/>
        <v>99.58424507658643</v>
      </c>
    </row>
    <row r="570" spans="1:11" ht="24">
      <c r="A570" s="87" t="s">
        <v>1640</v>
      </c>
      <c r="B570" s="82" t="s">
        <v>1097</v>
      </c>
      <c r="C570" s="85" t="s">
        <v>584</v>
      </c>
      <c r="D570" s="85" t="s">
        <v>584</v>
      </c>
      <c r="E570" s="85" t="s">
        <v>1188</v>
      </c>
      <c r="F570" s="85" t="s">
        <v>1637</v>
      </c>
      <c r="G570" s="90">
        <f t="shared" si="56"/>
        <v>0</v>
      </c>
      <c r="H570" s="90">
        <f t="shared" si="56"/>
        <v>2742</v>
      </c>
      <c r="I570" s="422">
        <f t="shared" si="56"/>
        <v>2730.6</v>
      </c>
      <c r="J570" s="203"/>
      <c r="K570" s="433">
        <f t="shared" si="49"/>
        <v>99.58424507658643</v>
      </c>
    </row>
    <row r="571" spans="1:11" ht="24">
      <c r="A571" s="87" t="s">
        <v>1189</v>
      </c>
      <c r="B571" s="82" t="s">
        <v>1097</v>
      </c>
      <c r="C571" s="85" t="s">
        <v>584</v>
      </c>
      <c r="D571" s="85" t="s">
        <v>584</v>
      </c>
      <c r="E571" s="85" t="s">
        <v>1188</v>
      </c>
      <c r="F571" s="85" t="s">
        <v>1637</v>
      </c>
      <c r="G571" s="90"/>
      <c r="H571" s="90">
        <f>2482+260</f>
        <v>2742</v>
      </c>
      <c r="I571" s="422">
        <v>2730.6</v>
      </c>
      <c r="J571" s="203"/>
      <c r="K571" s="433">
        <f aca="true" t="shared" si="57" ref="K571:K634">I571/H571*100</f>
        <v>99.58424507658643</v>
      </c>
    </row>
    <row r="572" spans="1:11" ht="15">
      <c r="A572" s="88" t="s">
        <v>1261</v>
      </c>
      <c r="B572" s="82" t="s">
        <v>1097</v>
      </c>
      <c r="C572" s="417" t="s">
        <v>589</v>
      </c>
      <c r="D572" s="85"/>
      <c r="E572" s="85"/>
      <c r="F572" s="85"/>
      <c r="G572" s="90">
        <f>G573+G632</f>
        <v>269134.6</v>
      </c>
      <c r="H572" s="90">
        <f>H573+H632</f>
        <v>290269.9</v>
      </c>
      <c r="I572" s="422">
        <f>I573+I632</f>
        <v>288494.5</v>
      </c>
      <c r="J572" s="203">
        <f>I572/G572*100</f>
        <v>107.19338947872181</v>
      </c>
      <c r="K572" s="433">
        <f t="shared" si="57"/>
        <v>99.38836234828344</v>
      </c>
    </row>
    <row r="573" spans="1:11" ht="15">
      <c r="A573" s="91" t="s">
        <v>1372</v>
      </c>
      <c r="B573" s="82" t="s">
        <v>1097</v>
      </c>
      <c r="C573" s="85" t="s">
        <v>589</v>
      </c>
      <c r="D573" s="85" t="s">
        <v>141</v>
      </c>
      <c r="E573" s="85"/>
      <c r="F573" s="85"/>
      <c r="G573" s="90">
        <f>G574+G594+G598+G610+G617+G622</f>
        <v>184907</v>
      </c>
      <c r="H573" s="90">
        <f>H574+H594+H598+H610+H617+H622</f>
        <v>194756.90000000002</v>
      </c>
      <c r="I573" s="422">
        <f>I574+I594+I598+I610+I617+I622</f>
        <v>194186.59999999998</v>
      </c>
      <c r="J573" s="203">
        <f>I573/G573*100</f>
        <v>105.0185228249877</v>
      </c>
      <c r="K573" s="433">
        <f t="shared" si="57"/>
        <v>99.70717340438256</v>
      </c>
    </row>
    <row r="574" spans="1:11" ht="24">
      <c r="A574" s="93" t="s">
        <v>1373</v>
      </c>
      <c r="B574" s="82" t="s">
        <v>1097</v>
      </c>
      <c r="C574" s="85" t="s">
        <v>589</v>
      </c>
      <c r="D574" s="85" t="s">
        <v>141</v>
      </c>
      <c r="E574" s="85" t="s">
        <v>1374</v>
      </c>
      <c r="F574" s="85"/>
      <c r="G574" s="90">
        <f>G580+G578+G575</f>
        <v>146554</v>
      </c>
      <c r="H574" s="90">
        <f>H580+H578+H575</f>
        <v>149662.2</v>
      </c>
      <c r="I574" s="422">
        <f>I580+I578+I575</f>
        <v>149211.19999999998</v>
      </c>
      <c r="J574" s="203">
        <f>I574/G574*100</f>
        <v>101.81312007860583</v>
      </c>
      <c r="K574" s="433">
        <f t="shared" si="57"/>
        <v>99.6986547037261</v>
      </c>
    </row>
    <row r="575" spans="1:11" ht="24">
      <c r="A575" s="92" t="s">
        <v>1262</v>
      </c>
      <c r="B575" s="82" t="s">
        <v>1097</v>
      </c>
      <c r="C575" s="85" t="s">
        <v>589</v>
      </c>
      <c r="D575" s="85" t="s">
        <v>141</v>
      </c>
      <c r="E575" s="85" t="s">
        <v>1593</v>
      </c>
      <c r="F575" s="85" t="s">
        <v>1071</v>
      </c>
      <c r="G575" s="90">
        <f aca="true" t="shared" si="58" ref="G575:I576">G576</f>
        <v>0</v>
      </c>
      <c r="H575" s="90">
        <f t="shared" si="58"/>
        <v>351.6</v>
      </c>
      <c r="I575" s="422">
        <f t="shared" si="58"/>
        <v>0</v>
      </c>
      <c r="J575" s="203"/>
      <c r="K575" s="433">
        <f t="shared" si="57"/>
        <v>0</v>
      </c>
    </row>
    <row r="576" spans="1:11" ht="24">
      <c r="A576" s="87" t="s">
        <v>1640</v>
      </c>
      <c r="B576" s="82" t="s">
        <v>1097</v>
      </c>
      <c r="C576" s="85" t="s">
        <v>589</v>
      </c>
      <c r="D576" s="85" t="s">
        <v>141</v>
      </c>
      <c r="E576" s="85" t="s">
        <v>1593</v>
      </c>
      <c r="F576" s="85" t="s">
        <v>1637</v>
      </c>
      <c r="G576" s="90">
        <f t="shared" si="58"/>
        <v>0</v>
      </c>
      <c r="H576" s="90">
        <f t="shared" si="58"/>
        <v>351.6</v>
      </c>
      <c r="I576" s="422">
        <f t="shared" si="58"/>
        <v>0</v>
      </c>
      <c r="J576" s="203"/>
      <c r="K576" s="433">
        <f t="shared" si="57"/>
        <v>0</v>
      </c>
    </row>
    <row r="577" spans="1:11" ht="15" customHeight="1">
      <c r="A577" s="87" t="s">
        <v>1594</v>
      </c>
      <c r="B577" s="82" t="s">
        <v>1097</v>
      </c>
      <c r="C577" s="85" t="s">
        <v>589</v>
      </c>
      <c r="D577" s="85" t="s">
        <v>141</v>
      </c>
      <c r="E577" s="85" t="s">
        <v>1593</v>
      </c>
      <c r="F577" s="85" t="s">
        <v>1637</v>
      </c>
      <c r="G577" s="90"/>
      <c r="H577" s="90">
        <f>334+17.6</f>
        <v>351.6</v>
      </c>
      <c r="I577" s="422"/>
      <c r="J577" s="203"/>
      <c r="K577" s="433"/>
    </row>
    <row r="578" spans="1:11" ht="58.5" customHeight="1">
      <c r="A578" s="87" t="s">
        <v>1103</v>
      </c>
      <c r="B578" s="82" t="s">
        <v>1097</v>
      </c>
      <c r="C578" s="85" t="s">
        <v>589</v>
      </c>
      <c r="D578" s="85" t="s">
        <v>141</v>
      </c>
      <c r="E578" s="85" t="s">
        <v>1102</v>
      </c>
      <c r="F578" s="85" t="s">
        <v>1071</v>
      </c>
      <c r="G578" s="90">
        <f>G579</f>
        <v>0</v>
      </c>
      <c r="H578" s="90">
        <f>H579</f>
        <v>95</v>
      </c>
      <c r="I578" s="422">
        <f>I579</f>
        <v>0</v>
      </c>
      <c r="J578" s="203"/>
      <c r="K578" s="433"/>
    </row>
    <row r="579" spans="1:11" ht="15" customHeight="1">
      <c r="A579" s="87" t="s">
        <v>1636</v>
      </c>
      <c r="B579" s="82" t="s">
        <v>1097</v>
      </c>
      <c r="C579" s="85" t="s">
        <v>589</v>
      </c>
      <c r="D579" s="85" t="s">
        <v>141</v>
      </c>
      <c r="E579" s="85" t="s">
        <v>1102</v>
      </c>
      <c r="F579" s="85" t="s">
        <v>1637</v>
      </c>
      <c r="G579" s="90"/>
      <c r="H579" s="90">
        <v>95</v>
      </c>
      <c r="I579" s="422"/>
      <c r="J579" s="203"/>
      <c r="K579" s="433"/>
    </row>
    <row r="580" spans="1:11" ht="24">
      <c r="A580" s="87" t="s">
        <v>661</v>
      </c>
      <c r="B580" s="82" t="s">
        <v>1097</v>
      </c>
      <c r="C580" s="85" t="s">
        <v>589</v>
      </c>
      <c r="D580" s="85" t="s">
        <v>141</v>
      </c>
      <c r="E580" s="85" t="s">
        <v>1375</v>
      </c>
      <c r="F580" s="85" t="s">
        <v>1071</v>
      </c>
      <c r="G580" s="90">
        <f>G581+G585+G588</f>
        <v>146554</v>
      </c>
      <c r="H580" s="90">
        <f>H581+H585+H588</f>
        <v>149215.6</v>
      </c>
      <c r="I580" s="422">
        <f>I581+I585+I588</f>
        <v>149211.19999999998</v>
      </c>
      <c r="J580" s="203">
        <f>I580/G580*100</f>
        <v>101.81312007860583</v>
      </c>
      <c r="K580" s="433">
        <f t="shared" si="57"/>
        <v>99.99705124665248</v>
      </c>
    </row>
    <row r="581" spans="1:11" ht="24">
      <c r="A581" s="87" t="s">
        <v>743</v>
      </c>
      <c r="B581" s="82" t="s">
        <v>1097</v>
      </c>
      <c r="C581" s="85" t="s">
        <v>589</v>
      </c>
      <c r="D581" s="85" t="s">
        <v>141</v>
      </c>
      <c r="E581" s="85" t="s">
        <v>1375</v>
      </c>
      <c r="F581" s="85" t="s">
        <v>744</v>
      </c>
      <c r="G581" s="90">
        <f>G582+G583</f>
        <v>127569</v>
      </c>
      <c r="H581" s="90">
        <f>H582+H583</f>
        <v>127412</v>
      </c>
      <c r="I581" s="422">
        <f>I582+I583</f>
        <v>127411.9</v>
      </c>
      <c r="J581" s="203">
        <f>I581/G581*100</f>
        <v>99.8768509590888</v>
      </c>
      <c r="K581" s="433">
        <f t="shared" si="57"/>
        <v>99.99992151445703</v>
      </c>
    </row>
    <row r="582" spans="1:11" ht="24">
      <c r="A582" s="87" t="s">
        <v>745</v>
      </c>
      <c r="B582" s="82" t="s">
        <v>1097</v>
      </c>
      <c r="C582" s="85" t="s">
        <v>589</v>
      </c>
      <c r="D582" s="85" t="s">
        <v>141</v>
      </c>
      <c r="E582" s="85" t="s">
        <v>1375</v>
      </c>
      <c r="F582" s="85" t="s">
        <v>746</v>
      </c>
      <c r="G582" s="90"/>
      <c r="H582" s="90">
        <f>128769-1200-919+360-517</f>
        <v>126493</v>
      </c>
      <c r="I582" s="422">
        <v>126492.9</v>
      </c>
      <c r="J582" s="203"/>
      <c r="K582" s="433">
        <f t="shared" si="57"/>
        <v>99.99992094424198</v>
      </c>
    </row>
    <row r="583" spans="1:11" ht="24">
      <c r="A583" s="87" t="s">
        <v>1640</v>
      </c>
      <c r="B583" s="82" t="s">
        <v>1097</v>
      </c>
      <c r="C583" s="85" t="s">
        <v>589</v>
      </c>
      <c r="D583" s="85" t="s">
        <v>141</v>
      </c>
      <c r="E583" s="85" t="s">
        <v>1375</v>
      </c>
      <c r="F583" s="85" t="s">
        <v>1637</v>
      </c>
      <c r="G583" s="90">
        <v>127569</v>
      </c>
      <c r="H583" s="90">
        <f>H584</f>
        <v>919</v>
      </c>
      <c r="I583" s="422">
        <f>I584</f>
        <v>919</v>
      </c>
      <c r="J583" s="203">
        <f>I583/G583*100</f>
        <v>0.7203944531978772</v>
      </c>
      <c r="K583" s="433">
        <f t="shared" si="57"/>
        <v>100</v>
      </c>
    </row>
    <row r="584" spans="1:11" ht="24">
      <c r="A584" s="358" t="s">
        <v>1174</v>
      </c>
      <c r="B584" s="82" t="s">
        <v>1097</v>
      </c>
      <c r="C584" s="85" t="s">
        <v>589</v>
      </c>
      <c r="D584" s="85" t="s">
        <v>141</v>
      </c>
      <c r="E584" s="85" t="s">
        <v>1375</v>
      </c>
      <c r="F584" s="85" t="s">
        <v>1637</v>
      </c>
      <c r="G584" s="90"/>
      <c r="H584" s="90">
        <v>919</v>
      </c>
      <c r="I584" s="422">
        <v>919</v>
      </c>
      <c r="J584" s="203"/>
      <c r="K584" s="433">
        <f t="shared" si="57"/>
        <v>100</v>
      </c>
    </row>
    <row r="585" spans="1:11" ht="24">
      <c r="A585" s="87" t="s">
        <v>1640</v>
      </c>
      <c r="B585" s="82" t="s">
        <v>1097</v>
      </c>
      <c r="C585" s="85" t="s">
        <v>589</v>
      </c>
      <c r="D585" s="85" t="s">
        <v>141</v>
      </c>
      <c r="E585" s="85" t="s">
        <v>564</v>
      </c>
      <c r="F585" s="85" t="s">
        <v>1637</v>
      </c>
      <c r="G585" s="90">
        <f>G586+G587</f>
        <v>0</v>
      </c>
      <c r="H585" s="90">
        <f>H586+H587</f>
        <v>1198.3</v>
      </c>
      <c r="I585" s="422">
        <f>I586+I587</f>
        <v>1194</v>
      </c>
      <c r="J585" s="203"/>
      <c r="K585" s="433">
        <f t="shared" si="57"/>
        <v>99.64115830760244</v>
      </c>
    </row>
    <row r="586" spans="1:11" ht="24">
      <c r="A586" s="87" t="s">
        <v>1672</v>
      </c>
      <c r="B586" s="82" t="s">
        <v>1097</v>
      </c>
      <c r="C586" s="85" t="s">
        <v>589</v>
      </c>
      <c r="D586" s="85" t="s">
        <v>141</v>
      </c>
      <c r="E586" s="85" t="s">
        <v>564</v>
      </c>
      <c r="F586" s="85" t="s">
        <v>1637</v>
      </c>
      <c r="G586" s="90"/>
      <c r="H586" s="90">
        <f>1124+74.3</f>
        <v>1198.3</v>
      </c>
      <c r="I586" s="422">
        <v>1194</v>
      </c>
      <c r="J586" s="203"/>
      <c r="K586" s="433">
        <f t="shared" si="57"/>
        <v>99.64115830760244</v>
      </c>
    </row>
    <row r="587" spans="1:11" ht="24" hidden="1">
      <c r="A587" s="358" t="s">
        <v>1174</v>
      </c>
      <c r="B587" s="82" t="s">
        <v>1097</v>
      </c>
      <c r="C587" s="85" t="s">
        <v>589</v>
      </c>
      <c r="D587" s="85" t="s">
        <v>141</v>
      </c>
      <c r="E587" s="85" t="s">
        <v>1375</v>
      </c>
      <c r="F587" s="85" t="s">
        <v>1637</v>
      </c>
      <c r="G587" s="90"/>
      <c r="H587" s="90"/>
      <c r="I587" s="422"/>
      <c r="J587" s="203" t="e">
        <f>I587/G587*100</f>
        <v>#DIV/0!</v>
      </c>
      <c r="K587" s="433" t="e">
        <f t="shared" si="57"/>
        <v>#DIV/0!</v>
      </c>
    </row>
    <row r="588" spans="1:11" ht="24">
      <c r="A588" s="87" t="s">
        <v>302</v>
      </c>
      <c r="B588" s="82" t="s">
        <v>1097</v>
      </c>
      <c r="C588" s="85" t="s">
        <v>589</v>
      </c>
      <c r="D588" s="85" t="s">
        <v>141</v>
      </c>
      <c r="E588" s="85" t="s">
        <v>1375</v>
      </c>
      <c r="F588" s="85" t="s">
        <v>296</v>
      </c>
      <c r="G588" s="90">
        <f>G589+G590</f>
        <v>18985</v>
      </c>
      <c r="H588" s="90">
        <f>H589+H590</f>
        <v>20605.3</v>
      </c>
      <c r="I588" s="422">
        <f>I589+I590</f>
        <v>20605.3</v>
      </c>
      <c r="J588" s="203">
        <f>I588/G588*100</f>
        <v>108.5346326046879</v>
      </c>
      <c r="K588" s="433">
        <f t="shared" si="57"/>
        <v>100</v>
      </c>
    </row>
    <row r="589" spans="1:11" ht="24">
      <c r="A589" s="87" t="s">
        <v>303</v>
      </c>
      <c r="B589" s="82" t="s">
        <v>1097</v>
      </c>
      <c r="C589" s="85" t="s">
        <v>589</v>
      </c>
      <c r="D589" s="85" t="s">
        <v>141</v>
      </c>
      <c r="E589" s="85" t="s">
        <v>1375</v>
      </c>
      <c r="F589" s="85" t="s">
        <v>304</v>
      </c>
      <c r="G589" s="90">
        <v>18985</v>
      </c>
      <c r="H589" s="90">
        <f>18985+350</f>
        <v>19335</v>
      </c>
      <c r="I589" s="422">
        <v>19335</v>
      </c>
      <c r="J589" s="203">
        <f>I589/G589*100</f>
        <v>101.8435607058204</v>
      </c>
      <c r="K589" s="433">
        <f t="shared" si="57"/>
        <v>100</v>
      </c>
    </row>
    <row r="590" spans="1:11" ht="24">
      <c r="A590" s="87" t="s">
        <v>305</v>
      </c>
      <c r="B590" s="82" t="s">
        <v>1097</v>
      </c>
      <c r="C590" s="85" t="s">
        <v>589</v>
      </c>
      <c r="D590" s="85" t="s">
        <v>141</v>
      </c>
      <c r="E590" s="85" t="s">
        <v>1375</v>
      </c>
      <c r="F590" s="85" t="s">
        <v>801</v>
      </c>
      <c r="G590" s="90">
        <f>G591+G592+G593</f>
        <v>0</v>
      </c>
      <c r="H590" s="90">
        <f>H591+H592+H593</f>
        <v>1270.3</v>
      </c>
      <c r="I590" s="422">
        <f>I591+I592+I593</f>
        <v>1270.3</v>
      </c>
      <c r="J590" s="203"/>
      <c r="K590" s="433">
        <f t="shared" si="57"/>
        <v>100</v>
      </c>
    </row>
    <row r="591" spans="1:11" ht="36">
      <c r="A591" s="87" t="s">
        <v>1596</v>
      </c>
      <c r="B591" s="82" t="s">
        <v>1097</v>
      </c>
      <c r="C591" s="85" t="s">
        <v>589</v>
      </c>
      <c r="D591" s="85" t="s">
        <v>141</v>
      </c>
      <c r="E591" s="85" t="s">
        <v>1375</v>
      </c>
      <c r="F591" s="85" t="s">
        <v>801</v>
      </c>
      <c r="G591" s="90"/>
      <c r="H591" s="90">
        <v>364.9</v>
      </c>
      <c r="I591" s="422">
        <v>364.9</v>
      </c>
      <c r="J591" s="203"/>
      <c r="K591" s="433">
        <f t="shared" si="57"/>
        <v>100</v>
      </c>
    </row>
    <row r="592" spans="1:11" ht="24">
      <c r="A592" s="87" t="s">
        <v>562</v>
      </c>
      <c r="B592" s="82" t="s">
        <v>1097</v>
      </c>
      <c r="C592" s="85" t="s">
        <v>589</v>
      </c>
      <c r="D592" s="85" t="s">
        <v>141</v>
      </c>
      <c r="E592" s="85" t="s">
        <v>1375</v>
      </c>
      <c r="F592" s="85" t="s">
        <v>801</v>
      </c>
      <c r="G592" s="90"/>
      <c r="H592" s="90">
        <v>305.4</v>
      </c>
      <c r="I592" s="422">
        <v>305.4</v>
      </c>
      <c r="J592" s="203"/>
      <c r="K592" s="433">
        <f t="shared" si="57"/>
        <v>100</v>
      </c>
    </row>
    <row r="593" spans="1:11" ht="24">
      <c r="A593" s="87" t="s">
        <v>1641</v>
      </c>
      <c r="B593" s="82" t="s">
        <v>1097</v>
      </c>
      <c r="C593" s="85" t="s">
        <v>589</v>
      </c>
      <c r="D593" s="85" t="s">
        <v>141</v>
      </c>
      <c r="E593" s="85" t="s">
        <v>1375</v>
      </c>
      <c r="F593" s="85" t="s">
        <v>801</v>
      </c>
      <c r="G593" s="90"/>
      <c r="H593" s="90">
        <v>600</v>
      </c>
      <c r="I593" s="422">
        <v>600</v>
      </c>
      <c r="J593" s="203"/>
      <c r="K593" s="433">
        <f t="shared" si="57"/>
        <v>100</v>
      </c>
    </row>
    <row r="594" spans="1:11" ht="24">
      <c r="A594" s="93" t="s">
        <v>1376</v>
      </c>
      <c r="B594" s="82" t="s">
        <v>1097</v>
      </c>
      <c r="C594" s="85" t="s">
        <v>589</v>
      </c>
      <c r="D594" s="85" t="s">
        <v>141</v>
      </c>
      <c r="E594" s="85" t="s">
        <v>1377</v>
      </c>
      <c r="F594" s="85"/>
      <c r="G594" s="90">
        <f aca="true" t="shared" si="59" ref="G594:I596">G595</f>
        <v>2722</v>
      </c>
      <c r="H594" s="90">
        <f t="shared" si="59"/>
        <v>2420</v>
      </c>
      <c r="I594" s="422">
        <f t="shared" si="59"/>
        <v>2415.7</v>
      </c>
      <c r="J594" s="203">
        <f>I594/G594*100</f>
        <v>88.74724467303453</v>
      </c>
      <c r="K594" s="433">
        <f t="shared" si="57"/>
        <v>99.82231404958677</v>
      </c>
    </row>
    <row r="595" spans="1:11" ht="24">
      <c r="A595" s="87" t="s">
        <v>661</v>
      </c>
      <c r="B595" s="82" t="s">
        <v>1097</v>
      </c>
      <c r="C595" s="85" t="s">
        <v>589</v>
      </c>
      <c r="D595" s="85" t="s">
        <v>141</v>
      </c>
      <c r="E595" s="85" t="s">
        <v>1378</v>
      </c>
      <c r="F595" s="85" t="s">
        <v>1071</v>
      </c>
      <c r="G595" s="90">
        <f t="shared" si="59"/>
        <v>2722</v>
      </c>
      <c r="H595" s="90">
        <f t="shared" si="59"/>
        <v>2420</v>
      </c>
      <c r="I595" s="422">
        <f t="shared" si="59"/>
        <v>2415.7</v>
      </c>
      <c r="J595" s="203">
        <f>I595/G595*100</f>
        <v>88.74724467303453</v>
      </c>
      <c r="K595" s="433">
        <f t="shared" si="57"/>
        <v>99.82231404958677</v>
      </c>
    </row>
    <row r="596" spans="1:11" ht="24">
      <c r="A596" s="87" t="s">
        <v>743</v>
      </c>
      <c r="B596" s="82" t="s">
        <v>1097</v>
      </c>
      <c r="C596" s="85" t="s">
        <v>589</v>
      </c>
      <c r="D596" s="85" t="s">
        <v>141</v>
      </c>
      <c r="E596" s="85" t="s">
        <v>1378</v>
      </c>
      <c r="F596" s="85" t="s">
        <v>744</v>
      </c>
      <c r="G596" s="90">
        <f t="shared" si="59"/>
        <v>2722</v>
      </c>
      <c r="H596" s="90">
        <f t="shared" si="59"/>
        <v>2420</v>
      </c>
      <c r="I596" s="422">
        <f t="shared" si="59"/>
        <v>2415.7</v>
      </c>
      <c r="J596" s="203">
        <f>I596/G596*100</f>
        <v>88.74724467303453</v>
      </c>
      <c r="K596" s="433">
        <f t="shared" si="57"/>
        <v>99.82231404958677</v>
      </c>
    </row>
    <row r="597" spans="1:11" ht="24">
      <c r="A597" s="87" t="s">
        <v>745</v>
      </c>
      <c r="B597" s="82" t="s">
        <v>1097</v>
      </c>
      <c r="C597" s="85" t="s">
        <v>589</v>
      </c>
      <c r="D597" s="85" t="s">
        <v>141</v>
      </c>
      <c r="E597" s="85" t="s">
        <v>1378</v>
      </c>
      <c r="F597" s="85" t="s">
        <v>746</v>
      </c>
      <c r="G597" s="90">
        <v>2722</v>
      </c>
      <c r="H597" s="90">
        <f>2722-302</f>
        <v>2420</v>
      </c>
      <c r="I597" s="422">
        <v>2415.7</v>
      </c>
      <c r="J597" s="203">
        <f>I597/G597*100</f>
        <v>88.74724467303453</v>
      </c>
      <c r="K597" s="433">
        <f t="shared" si="57"/>
        <v>99.82231404958677</v>
      </c>
    </row>
    <row r="598" spans="1:11" ht="24">
      <c r="A598" s="93" t="s">
        <v>1379</v>
      </c>
      <c r="B598" s="82" t="s">
        <v>1097</v>
      </c>
      <c r="C598" s="85" t="s">
        <v>589</v>
      </c>
      <c r="D598" s="85" t="s">
        <v>141</v>
      </c>
      <c r="E598" s="85" t="s">
        <v>1380</v>
      </c>
      <c r="F598" s="85"/>
      <c r="G598" s="90">
        <f>G599+G601</f>
        <v>31558</v>
      </c>
      <c r="H598" s="90">
        <f>H599+H601</f>
        <v>30749</v>
      </c>
      <c r="I598" s="422">
        <f>I599+I601</f>
        <v>30681.6</v>
      </c>
      <c r="J598" s="203">
        <f>I598/G598*100</f>
        <v>97.2228911844857</v>
      </c>
      <c r="K598" s="433">
        <f t="shared" si="57"/>
        <v>99.78080587986601</v>
      </c>
    </row>
    <row r="599" spans="1:11" ht="22.5" customHeight="1">
      <c r="A599" s="92" t="s">
        <v>1673</v>
      </c>
      <c r="B599" s="82" t="s">
        <v>1097</v>
      </c>
      <c r="C599" s="85" t="s">
        <v>589</v>
      </c>
      <c r="D599" s="85" t="s">
        <v>141</v>
      </c>
      <c r="E599" s="85" t="s">
        <v>1674</v>
      </c>
      <c r="F599" s="85" t="s">
        <v>1071</v>
      </c>
      <c r="G599" s="90">
        <f>G600</f>
        <v>0</v>
      </c>
      <c r="H599" s="90">
        <f>H600</f>
        <v>95</v>
      </c>
      <c r="I599" s="422">
        <f>I600</f>
        <v>75</v>
      </c>
      <c r="J599" s="203"/>
      <c r="K599" s="433">
        <f t="shared" si="57"/>
        <v>78.94736842105263</v>
      </c>
    </row>
    <row r="600" spans="1:11" ht="15" customHeight="1">
      <c r="A600" s="87" t="s">
        <v>1675</v>
      </c>
      <c r="B600" s="82" t="s">
        <v>1097</v>
      </c>
      <c r="C600" s="85" t="s">
        <v>589</v>
      </c>
      <c r="D600" s="85" t="s">
        <v>141</v>
      </c>
      <c r="E600" s="85" t="s">
        <v>1674</v>
      </c>
      <c r="F600" s="85" t="s">
        <v>1637</v>
      </c>
      <c r="G600" s="90"/>
      <c r="H600" s="90">
        <v>95</v>
      </c>
      <c r="I600" s="422">
        <v>75</v>
      </c>
      <c r="J600" s="203"/>
      <c r="K600" s="433">
        <f t="shared" si="57"/>
        <v>78.94736842105263</v>
      </c>
    </row>
    <row r="601" spans="1:11" ht="22.5" customHeight="1">
      <c r="A601" s="87" t="s">
        <v>661</v>
      </c>
      <c r="B601" s="82" t="s">
        <v>1097</v>
      </c>
      <c r="C601" s="85" t="s">
        <v>589</v>
      </c>
      <c r="D601" s="85" t="s">
        <v>141</v>
      </c>
      <c r="E601" s="85" t="s">
        <v>1381</v>
      </c>
      <c r="F601" s="85" t="s">
        <v>1071</v>
      </c>
      <c r="G601" s="90">
        <f>G602</f>
        <v>31558</v>
      </c>
      <c r="H601" s="90">
        <f>H602</f>
        <v>30654</v>
      </c>
      <c r="I601" s="422">
        <f>I602</f>
        <v>30606.6</v>
      </c>
      <c r="J601" s="203">
        <f>I601/G601*100</f>
        <v>96.98523353824703</v>
      </c>
      <c r="K601" s="433">
        <f t="shared" si="57"/>
        <v>99.8453709140732</v>
      </c>
    </row>
    <row r="602" spans="1:11" ht="24">
      <c r="A602" s="87" t="s">
        <v>743</v>
      </c>
      <c r="B602" s="82" t="s">
        <v>1097</v>
      </c>
      <c r="C602" s="85" t="s">
        <v>589</v>
      </c>
      <c r="D602" s="85" t="s">
        <v>141</v>
      </c>
      <c r="E602" s="85" t="s">
        <v>1381</v>
      </c>
      <c r="F602" s="85" t="s">
        <v>744</v>
      </c>
      <c r="G602" s="90">
        <f>G603+G604+G607</f>
        <v>31558</v>
      </c>
      <c r="H602" s="90">
        <f>H603+H604+H607</f>
        <v>30654</v>
      </c>
      <c r="I602" s="422">
        <f>I603+I604+I607</f>
        <v>30606.6</v>
      </c>
      <c r="J602" s="203">
        <f>I602/G602*100</f>
        <v>96.98523353824703</v>
      </c>
      <c r="K602" s="433">
        <f t="shared" si="57"/>
        <v>99.8453709140732</v>
      </c>
    </row>
    <row r="603" spans="1:11" ht="24">
      <c r="A603" s="87" t="s">
        <v>745</v>
      </c>
      <c r="B603" s="82" t="s">
        <v>1097</v>
      </c>
      <c r="C603" s="85" t="s">
        <v>589</v>
      </c>
      <c r="D603" s="85" t="s">
        <v>141</v>
      </c>
      <c r="E603" s="85" t="s">
        <v>1381</v>
      </c>
      <c r="F603" s="85" t="s">
        <v>746</v>
      </c>
      <c r="G603" s="90">
        <v>31045</v>
      </c>
      <c r="H603" s="90">
        <f>31558-513-506.8+76-5-979</f>
        <v>29630.2</v>
      </c>
      <c r="I603" s="422">
        <v>29621.6</v>
      </c>
      <c r="J603" s="203">
        <f>I603/G603*100</f>
        <v>95.41504267998067</v>
      </c>
      <c r="K603" s="433">
        <f t="shared" si="57"/>
        <v>99.97097555872048</v>
      </c>
    </row>
    <row r="604" spans="1:11" ht="24">
      <c r="A604" s="87" t="s">
        <v>1640</v>
      </c>
      <c r="B604" s="82" t="s">
        <v>1097</v>
      </c>
      <c r="C604" s="85" t="s">
        <v>589</v>
      </c>
      <c r="D604" s="85" t="s">
        <v>141</v>
      </c>
      <c r="E604" s="85" t="s">
        <v>1381</v>
      </c>
      <c r="F604" s="85" t="s">
        <v>1637</v>
      </c>
      <c r="G604" s="90">
        <f>G605+G606</f>
        <v>0</v>
      </c>
      <c r="H604" s="90">
        <f>H605+H606</f>
        <v>511.8</v>
      </c>
      <c r="I604" s="422">
        <f>I605+I606</f>
        <v>473</v>
      </c>
      <c r="J604" s="203"/>
      <c r="K604" s="433">
        <f t="shared" si="57"/>
        <v>92.4189136381399</v>
      </c>
    </row>
    <row r="605" spans="1:11" ht="24">
      <c r="A605" s="87" t="s">
        <v>1595</v>
      </c>
      <c r="B605" s="82" t="s">
        <v>1097</v>
      </c>
      <c r="C605" s="85" t="s">
        <v>589</v>
      </c>
      <c r="D605" s="85" t="s">
        <v>141</v>
      </c>
      <c r="E605" s="85" t="s">
        <v>1381</v>
      </c>
      <c r="F605" s="85" t="s">
        <v>1637</v>
      </c>
      <c r="G605" s="90"/>
      <c r="H605" s="90">
        <v>506.8</v>
      </c>
      <c r="I605" s="422">
        <v>468</v>
      </c>
      <c r="J605" s="203"/>
      <c r="K605" s="433">
        <f t="shared" si="57"/>
        <v>92.34411996842937</v>
      </c>
    </row>
    <row r="606" spans="1:11" ht="48">
      <c r="A606" s="87" t="s">
        <v>1676</v>
      </c>
      <c r="B606" s="82" t="s">
        <v>1097</v>
      </c>
      <c r="C606" s="85" t="s">
        <v>589</v>
      </c>
      <c r="D606" s="85" t="s">
        <v>141</v>
      </c>
      <c r="E606" s="85" t="s">
        <v>1381</v>
      </c>
      <c r="F606" s="85" t="s">
        <v>1637</v>
      </c>
      <c r="G606" s="90"/>
      <c r="H606" s="90">
        <v>5</v>
      </c>
      <c r="I606" s="422">
        <v>5</v>
      </c>
      <c r="J606" s="203"/>
      <c r="K606" s="433">
        <f t="shared" si="57"/>
        <v>100</v>
      </c>
    </row>
    <row r="607" spans="1:11" ht="24">
      <c r="A607" s="87" t="s">
        <v>1640</v>
      </c>
      <c r="B607" s="82" t="s">
        <v>1097</v>
      </c>
      <c r="C607" s="85" t="s">
        <v>589</v>
      </c>
      <c r="D607" s="85" t="s">
        <v>141</v>
      </c>
      <c r="E607" s="85" t="s">
        <v>1677</v>
      </c>
      <c r="F607" s="85" t="s">
        <v>1637</v>
      </c>
      <c r="G607" s="90">
        <f>G608+G609</f>
        <v>513</v>
      </c>
      <c r="H607" s="90">
        <f>H608+H609</f>
        <v>512</v>
      </c>
      <c r="I607" s="422">
        <f>I608+I609</f>
        <v>512</v>
      </c>
      <c r="J607" s="203">
        <f>I607/G607*100</f>
        <v>99.80506822612085</v>
      </c>
      <c r="K607" s="433">
        <f t="shared" si="57"/>
        <v>100</v>
      </c>
    </row>
    <row r="608" spans="1:11" ht="24">
      <c r="A608" s="87" t="s">
        <v>494</v>
      </c>
      <c r="B608" s="82" t="s">
        <v>1097</v>
      </c>
      <c r="C608" s="85" t="s">
        <v>589</v>
      </c>
      <c r="D608" s="85" t="s">
        <v>141</v>
      </c>
      <c r="E608" s="85" t="s">
        <v>1677</v>
      </c>
      <c r="F608" s="85" t="s">
        <v>1637</v>
      </c>
      <c r="G608" s="90">
        <v>513</v>
      </c>
      <c r="H608" s="90">
        <v>212</v>
      </c>
      <c r="I608" s="422">
        <v>212</v>
      </c>
      <c r="J608" s="203">
        <f>I608/G608*100</f>
        <v>41.32553606237816</v>
      </c>
      <c r="K608" s="433">
        <f t="shared" si="57"/>
        <v>100</v>
      </c>
    </row>
    <row r="609" spans="1:11" ht="24">
      <c r="A609" s="87" t="s">
        <v>1678</v>
      </c>
      <c r="B609" s="82" t="s">
        <v>1097</v>
      </c>
      <c r="C609" s="85" t="s">
        <v>589</v>
      </c>
      <c r="D609" s="85" t="s">
        <v>141</v>
      </c>
      <c r="E609" s="85" t="s">
        <v>1677</v>
      </c>
      <c r="F609" s="85" t="s">
        <v>1637</v>
      </c>
      <c r="G609" s="90"/>
      <c r="H609" s="90">
        <v>300</v>
      </c>
      <c r="I609" s="422">
        <v>300</v>
      </c>
      <c r="J609" s="203"/>
      <c r="K609" s="433">
        <f t="shared" si="57"/>
        <v>100</v>
      </c>
    </row>
    <row r="610" spans="1:11" ht="20.25" customHeight="1">
      <c r="A610" s="93" t="s">
        <v>1382</v>
      </c>
      <c r="B610" s="82" t="s">
        <v>1097</v>
      </c>
      <c r="C610" s="85" t="s">
        <v>589</v>
      </c>
      <c r="D610" s="85" t="s">
        <v>141</v>
      </c>
      <c r="E610" s="85" t="s">
        <v>1383</v>
      </c>
      <c r="F610" s="85"/>
      <c r="G610" s="90">
        <f>G613</f>
        <v>4073</v>
      </c>
      <c r="H610" s="90">
        <f>H613</f>
        <v>0</v>
      </c>
      <c r="I610" s="422">
        <f>I613</f>
        <v>0</v>
      </c>
      <c r="J610" s="203">
        <f aca="true" t="shared" si="60" ref="J610:J616">I610/G610*100</f>
        <v>0</v>
      </c>
      <c r="K610" s="433"/>
    </row>
    <row r="611" spans="1:11" ht="15.75" hidden="1">
      <c r="A611" s="92" t="s">
        <v>1384</v>
      </c>
      <c r="B611" s="82" t="s">
        <v>1097</v>
      </c>
      <c r="C611" s="85" t="s">
        <v>589</v>
      </c>
      <c r="D611" s="85" t="s">
        <v>141</v>
      </c>
      <c r="E611" s="85" t="s">
        <v>1385</v>
      </c>
      <c r="F611" s="85"/>
      <c r="G611" s="90">
        <f>G612</f>
        <v>0</v>
      </c>
      <c r="H611" s="90">
        <f>H612</f>
        <v>0</v>
      </c>
      <c r="I611" s="422">
        <f>I612</f>
        <v>0</v>
      </c>
      <c r="J611" s="203" t="e">
        <f t="shared" si="60"/>
        <v>#DIV/0!</v>
      </c>
      <c r="K611" s="433"/>
    </row>
    <row r="612" spans="1:11" ht="15.75" hidden="1">
      <c r="A612" s="87" t="s">
        <v>1758</v>
      </c>
      <c r="B612" s="82" t="s">
        <v>1097</v>
      </c>
      <c r="C612" s="85" t="s">
        <v>589</v>
      </c>
      <c r="D612" s="85" t="s">
        <v>141</v>
      </c>
      <c r="E612" s="85" t="s">
        <v>1385</v>
      </c>
      <c r="F612" s="85" t="s">
        <v>1878</v>
      </c>
      <c r="G612" s="90">
        <v>0</v>
      </c>
      <c r="H612" s="90">
        <v>0</v>
      </c>
      <c r="I612" s="422"/>
      <c r="J612" s="203" t="e">
        <f t="shared" si="60"/>
        <v>#DIV/0!</v>
      </c>
      <c r="K612" s="433"/>
    </row>
    <row r="613" spans="1:11" ht="24">
      <c r="A613" s="87" t="s">
        <v>41</v>
      </c>
      <c r="B613" s="82" t="s">
        <v>1097</v>
      </c>
      <c r="C613" s="85" t="s">
        <v>589</v>
      </c>
      <c r="D613" s="85" t="s">
        <v>141</v>
      </c>
      <c r="E613" s="85" t="s">
        <v>42</v>
      </c>
      <c r="F613" s="85" t="s">
        <v>1071</v>
      </c>
      <c r="G613" s="90">
        <f>G614+G615</f>
        <v>4073</v>
      </c>
      <c r="H613" s="90">
        <f>H614+H615</f>
        <v>0</v>
      </c>
      <c r="I613" s="422"/>
      <c r="J613" s="203">
        <f t="shared" si="60"/>
        <v>0</v>
      </c>
      <c r="K613" s="433"/>
    </row>
    <row r="614" spans="1:11" ht="24">
      <c r="A614" s="87" t="s">
        <v>540</v>
      </c>
      <c r="B614" s="82" t="s">
        <v>1097</v>
      </c>
      <c r="C614" s="85" t="s">
        <v>589</v>
      </c>
      <c r="D614" s="85" t="s">
        <v>141</v>
      </c>
      <c r="E614" s="85" t="s">
        <v>42</v>
      </c>
      <c r="F614" s="85" t="s">
        <v>541</v>
      </c>
      <c r="G614" s="90">
        <v>4073</v>
      </c>
      <c r="H614" s="90"/>
      <c r="I614" s="422"/>
      <c r="J614" s="203">
        <f t="shared" si="60"/>
        <v>0</v>
      </c>
      <c r="K614" s="433"/>
    </row>
    <row r="615" spans="1:11" ht="15.75" hidden="1">
      <c r="A615" s="87" t="s">
        <v>1167</v>
      </c>
      <c r="B615" s="82" t="s">
        <v>1097</v>
      </c>
      <c r="C615" s="85" t="s">
        <v>589</v>
      </c>
      <c r="D615" s="85" t="s">
        <v>141</v>
      </c>
      <c r="E615" s="85" t="s">
        <v>42</v>
      </c>
      <c r="F615" s="85" t="s">
        <v>1637</v>
      </c>
      <c r="G615" s="90">
        <f>G616</f>
        <v>0</v>
      </c>
      <c r="H615" s="90">
        <f>H616</f>
        <v>0</v>
      </c>
      <c r="I615" s="422">
        <f>I616</f>
        <v>1</v>
      </c>
      <c r="J615" s="203" t="e">
        <f t="shared" si="60"/>
        <v>#DIV/0!</v>
      </c>
      <c r="K615" s="433" t="e">
        <f t="shared" si="57"/>
        <v>#DIV/0!</v>
      </c>
    </row>
    <row r="616" spans="1:11" ht="15.75" hidden="1">
      <c r="A616" s="87" t="s">
        <v>1679</v>
      </c>
      <c r="B616" s="82" t="s">
        <v>1097</v>
      </c>
      <c r="C616" s="85" t="s">
        <v>589</v>
      </c>
      <c r="D616" s="85" t="s">
        <v>141</v>
      </c>
      <c r="E616" s="85" t="s">
        <v>42</v>
      </c>
      <c r="F616" s="85" t="s">
        <v>1637</v>
      </c>
      <c r="G616" s="90">
        <v>0</v>
      </c>
      <c r="H616" s="90">
        <v>0</v>
      </c>
      <c r="I616" s="422">
        <v>1</v>
      </c>
      <c r="J616" s="203" t="e">
        <f t="shared" si="60"/>
        <v>#DIV/0!</v>
      </c>
      <c r="K616" s="433" t="e">
        <f t="shared" si="57"/>
        <v>#DIV/0!</v>
      </c>
    </row>
    <row r="617" spans="1:11" ht="24">
      <c r="A617" s="360" t="s">
        <v>1664</v>
      </c>
      <c r="B617" s="82" t="s">
        <v>1097</v>
      </c>
      <c r="C617" s="85" t="s">
        <v>589</v>
      </c>
      <c r="D617" s="85" t="s">
        <v>141</v>
      </c>
      <c r="E617" s="85" t="s">
        <v>1665</v>
      </c>
      <c r="F617" s="85" t="s">
        <v>1071</v>
      </c>
      <c r="G617" s="90">
        <f>G618</f>
        <v>0</v>
      </c>
      <c r="H617" s="90">
        <f>H618</f>
        <v>2750</v>
      </c>
      <c r="I617" s="422">
        <f>I618</f>
        <v>2724.8</v>
      </c>
      <c r="J617" s="203"/>
      <c r="K617" s="433">
        <f t="shared" si="57"/>
        <v>99.08363636363637</v>
      </c>
    </row>
    <row r="618" spans="1:11" ht="24">
      <c r="A618" s="358" t="s">
        <v>1640</v>
      </c>
      <c r="B618" s="82" t="s">
        <v>1097</v>
      </c>
      <c r="C618" s="85" t="s">
        <v>589</v>
      </c>
      <c r="D618" s="85" t="s">
        <v>141</v>
      </c>
      <c r="E618" s="85" t="s">
        <v>1665</v>
      </c>
      <c r="F618" s="85" t="s">
        <v>1637</v>
      </c>
      <c r="G618" s="90">
        <f>G619+G620+G621</f>
        <v>0</v>
      </c>
      <c r="H618" s="90">
        <f>H619+H620+H621</f>
        <v>2750</v>
      </c>
      <c r="I618" s="422">
        <f>I619+I620+I621</f>
        <v>2724.8</v>
      </c>
      <c r="J618" s="203"/>
      <c r="K618" s="433">
        <f t="shared" si="57"/>
        <v>99.08363636363637</v>
      </c>
    </row>
    <row r="619" spans="1:11" ht="24">
      <c r="A619" s="358" t="s">
        <v>1680</v>
      </c>
      <c r="B619" s="82" t="s">
        <v>1097</v>
      </c>
      <c r="C619" s="85" t="s">
        <v>589</v>
      </c>
      <c r="D619" s="85" t="s">
        <v>141</v>
      </c>
      <c r="E619" s="85" t="s">
        <v>1665</v>
      </c>
      <c r="F619" s="85" t="s">
        <v>1637</v>
      </c>
      <c r="G619" s="90"/>
      <c r="H619" s="90">
        <v>2000</v>
      </c>
      <c r="I619" s="422">
        <v>1996.3</v>
      </c>
      <c r="J619" s="203"/>
      <c r="K619" s="433">
        <f t="shared" si="57"/>
        <v>99.815</v>
      </c>
    </row>
    <row r="620" spans="1:11" ht="24">
      <c r="A620" s="358" t="s">
        <v>1681</v>
      </c>
      <c r="B620" s="82" t="s">
        <v>1097</v>
      </c>
      <c r="C620" s="85" t="s">
        <v>589</v>
      </c>
      <c r="D620" s="85" t="s">
        <v>141</v>
      </c>
      <c r="E620" s="85" t="s">
        <v>1665</v>
      </c>
      <c r="F620" s="85" t="s">
        <v>1637</v>
      </c>
      <c r="G620" s="90"/>
      <c r="H620" s="90">
        <v>500</v>
      </c>
      <c r="I620" s="422">
        <v>478.5</v>
      </c>
      <c r="J620" s="203"/>
      <c r="K620" s="433">
        <f t="shared" si="57"/>
        <v>95.7</v>
      </c>
    </row>
    <row r="621" spans="1:11" ht="24">
      <c r="A621" s="358" t="s">
        <v>1263</v>
      </c>
      <c r="B621" s="82" t="s">
        <v>1097</v>
      </c>
      <c r="C621" s="85" t="s">
        <v>589</v>
      </c>
      <c r="D621" s="85" t="s">
        <v>141</v>
      </c>
      <c r="E621" s="85" t="s">
        <v>1665</v>
      </c>
      <c r="F621" s="85" t="s">
        <v>1637</v>
      </c>
      <c r="G621" s="90"/>
      <c r="H621" s="90">
        <v>250</v>
      </c>
      <c r="I621" s="422">
        <v>250</v>
      </c>
      <c r="J621" s="203"/>
      <c r="K621" s="433">
        <f t="shared" si="57"/>
        <v>100</v>
      </c>
    </row>
    <row r="622" spans="1:11" ht="24">
      <c r="A622" s="86" t="s">
        <v>909</v>
      </c>
      <c r="B622" s="82" t="s">
        <v>1097</v>
      </c>
      <c r="C622" s="85" t="s">
        <v>589</v>
      </c>
      <c r="D622" s="85" t="s">
        <v>141</v>
      </c>
      <c r="E622" s="85" t="s">
        <v>910</v>
      </c>
      <c r="F622" s="85"/>
      <c r="G622" s="90">
        <f>G623</f>
        <v>0</v>
      </c>
      <c r="H622" s="90">
        <f>H623</f>
        <v>9175.699999999999</v>
      </c>
      <c r="I622" s="422">
        <f>I623</f>
        <v>9153.3</v>
      </c>
      <c r="J622" s="203"/>
      <c r="K622" s="433">
        <f t="shared" si="57"/>
        <v>99.75587693581961</v>
      </c>
    </row>
    <row r="623" spans="1:11" ht="24">
      <c r="A623" s="87" t="s">
        <v>1683</v>
      </c>
      <c r="B623" s="82" t="s">
        <v>1097</v>
      </c>
      <c r="C623" s="85" t="s">
        <v>589</v>
      </c>
      <c r="D623" s="85" t="s">
        <v>141</v>
      </c>
      <c r="E623" s="85" t="s">
        <v>1684</v>
      </c>
      <c r="F623" s="85" t="s">
        <v>1071</v>
      </c>
      <c r="G623" s="90">
        <f>G624+G625+G629</f>
        <v>0</v>
      </c>
      <c r="H623" s="90">
        <f>H624+H625+H629</f>
        <v>9175.699999999999</v>
      </c>
      <c r="I623" s="422">
        <f>I624+I625+I629</f>
        <v>9153.3</v>
      </c>
      <c r="J623" s="203"/>
      <c r="K623" s="433">
        <f t="shared" si="57"/>
        <v>99.75587693581961</v>
      </c>
    </row>
    <row r="624" spans="1:11" ht="24">
      <c r="A624" s="87" t="s">
        <v>1729</v>
      </c>
      <c r="B624" s="82" t="s">
        <v>1097</v>
      </c>
      <c r="C624" s="85" t="s">
        <v>589</v>
      </c>
      <c r="D624" s="85" t="s">
        <v>141</v>
      </c>
      <c r="E624" s="85" t="s">
        <v>1684</v>
      </c>
      <c r="F624" s="85" t="s">
        <v>1837</v>
      </c>
      <c r="G624" s="90"/>
      <c r="H624" s="90">
        <v>142.3</v>
      </c>
      <c r="I624" s="422">
        <v>142.3</v>
      </c>
      <c r="J624" s="203"/>
      <c r="K624" s="433">
        <f t="shared" si="57"/>
        <v>100</v>
      </c>
    </row>
    <row r="625" spans="1:11" ht="24">
      <c r="A625" s="87" t="s">
        <v>743</v>
      </c>
      <c r="B625" s="82" t="s">
        <v>1097</v>
      </c>
      <c r="C625" s="85" t="s">
        <v>589</v>
      </c>
      <c r="D625" s="85" t="s">
        <v>141</v>
      </c>
      <c r="E625" s="83" t="s">
        <v>1684</v>
      </c>
      <c r="F625" s="83" t="s">
        <v>744</v>
      </c>
      <c r="G625" s="90">
        <f>G626+G627</f>
        <v>0</v>
      </c>
      <c r="H625" s="90">
        <f>H626+H627</f>
        <v>8771.4</v>
      </c>
      <c r="I625" s="422">
        <f>I626+I627</f>
        <v>8749</v>
      </c>
      <c r="J625" s="203"/>
      <c r="K625" s="433">
        <f t="shared" si="57"/>
        <v>99.74462457532437</v>
      </c>
    </row>
    <row r="626" spans="1:11" ht="24" hidden="1">
      <c r="A626" s="87" t="s">
        <v>745</v>
      </c>
      <c r="B626" s="82" t="s">
        <v>1097</v>
      </c>
      <c r="C626" s="85" t="s">
        <v>589</v>
      </c>
      <c r="D626" s="85" t="s">
        <v>141</v>
      </c>
      <c r="E626" s="83" t="s">
        <v>1684</v>
      </c>
      <c r="F626" s="83" t="s">
        <v>746</v>
      </c>
      <c r="G626" s="90"/>
      <c r="H626" s="90"/>
      <c r="I626" s="422"/>
      <c r="J626" s="203"/>
      <c r="K626" s="433" t="e">
        <f t="shared" si="57"/>
        <v>#DIV/0!</v>
      </c>
    </row>
    <row r="627" spans="1:11" ht="24">
      <c r="A627" s="87" t="s">
        <v>1640</v>
      </c>
      <c r="B627" s="82" t="s">
        <v>1097</v>
      </c>
      <c r="C627" s="85" t="s">
        <v>589</v>
      </c>
      <c r="D627" s="85" t="s">
        <v>141</v>
      </c>
      <c r="E627" s="83" t="s">
        <v>1684</v>
      </c>
      <c r="F627" s="83" t="s">
        <v>1637</v>
      </c>
      <c r="G627" s="90">
        <f>G628</f>
        <v>0</v>
      </c>
      <c r="H627" s="90">
        <f>H628</f>
        <v>8771.4</v>
      </c>
      <c r="I627" s="422">
        <f>I628</f>
        <v>8749</v>
      </c>
      <c r="J627" s="203"/>
      <c r="K627" s="433">
        <f t="shared" si="57"/>
        <v>99.74462457532437</v>
      </c>
    </row>
    <row r="628" spans="1:11" ht="24">
      <c r="A628" s="87" t="s">
        <v>1685</v>
      </c>
      <c r="B628" s="82" t="s">
        <v>1097</v>
      </c>
      <c r="C628" s="85" t="s">
        <v>589</v>
      </c>
      <c r="D628" s="85" t="s">
        <v>141</v>
      </c>
      <c r="E628" s="83" t="s">
        <v>1684</v>
      </c>
      <c r="F628" s="83" t="s">
        <v>1637</v>
      </c>
      <c r="G628" s="90"/>
      <c r="H628" s="90">
        <f>6043.4+1000-262+122+200+1268+400</f>
        <v>8771.4</v>
      </c>
      <c r="I628" s="422">
        <v>8749</v>
      </c>
      <c r="J628" s="203"/>
      <c r="K628" s="433">
        <f t="shared" si="57"/>
        <v>99.74462457532437</v>
      </c>
    </row>
    <row r="629" spans="1:11" ht="24">
      <c r="A629" s="87" t="s">
        <v>302</v>
      </c>
      <c r="B629" s="82" t="s">
        <v>1097</v>
      </c>
      <c r="C629" s="85" t="s">
        <v>589</v>
      </c>
      <c r="D629" s="85" t="s">
        <v>141</v>
      </c>
      <c r="E629" s="83" t="s">
        <v>1684</v>
      </c>
      <c r="F629" s="83" t="s">
        <v>296</v>
      </c>
      <c r="G629" s="90">
        <f aca="true" t="shared" si="61" ref="G629:I630">G630</f>
        <v>0</v>
      </c>
      <c r="H629" s="90">
        <f t="shared" si="61"/>
        <v>262</v>
      </c>
      <c r="I629" s="422">
        <f t="shared" si="61"/>
        <v>262</v>
      </c>
      <c r="J629" s="203"/>
      <c r="K629" s="433">
        <f t="shared" si="57"/>
        <v>100</v>
      </c>
    </row>
    <row r="630" spans="1:11" ht="24">
      <c r="A630" s="87" t="s">
        <v>305</v>
      </c>
      <c r="B630" s="82" t="s">
        <v>1097</v>
      </c>
      <c r="C630" s="85" t="s">
        <v>589</v>
      </c>
      <c r="D630" s="85" t="s">
        <v>141</v>
      </c>
      <c r="E630" s="83" t="s">
        <v>1684</v>
      </c>
      <c r="F630" s="83" t="s">
        <v>801</v>
      </c>
      <c r="G630" s="90">
        <f t="shared" si="61"/>
        <v>0</v>
      </c>
      <c r="H630" s="90">
        <f t="shared" si="61"/>
        <v>262</v>
      </c>
      <c r="I630" s="422">
        <f t="shared" si="61"/>
        <v>262</v>
      </c>
      <c r="J630" s="203"/>
      <c r="K630" s="433">
        <f t="shared" si="57"/>
        <v>100</v>
      </c>
    </row>
    <row r="631" spans="1:11" ht="24">
      <c r="A631" s="87" t="s">
        <v>1687</v>
      </c>
      <c r="B631" s="82" t="s">
        <v>1097</v>
      </c>
      <c r="C631" s="85" t="s">
        <v>589</v>
      </c>
      <c r="D631" s="85" t="s">
        <v>141</v>
      </c>
      <c r="E631" s="83" t="s">
        <v>1684</v>
      </c>
      <c r="F631" s="83" t="s">
        <v>801</v>
      </c>
      <c r="G631" s="90"/>
      <c r="H631" s="90">
        <v>262</v>
      </c>
      <c r="I631" s="422">
        <v>262</v>
      </c>
      <c r="J631" s="203"/>
      <c r="K631" s="433">
        <f t="shared" si="57"/>
        <v>100</v>
      </c>
    </row>
    <row r="632" spans="1:11" ht="15">
      <c r="A632" s="91" t="s">
        <v>1688</v>
      </c>
      <c r="B632" s="82" t="s">
        <v>1097</v>
      </c>
      <c r="C632" s="85" t="s">
        <v>589</v>
      </c>
      <c r="D632" s="85" t="s">
        <v>1603</v>
      </c>
      <c r="E632" s="85"/>
      <c r="F632" s="85"/>
      <c r="G632" s="90">
        <f>G633+G641+G644+G650</f>
        <v>84227.6</v>
      </c>
      <c r="H632" s="90">
        <f>H633+H641+H644+H650</f>
        <v>95513</v>
      </c>
      <c r="I632" s="422">
        <f>I633+I641+I644+I650</f>
        <v>94307.9</v>
      </c>
      <c r="J632" s="203">
        <f>I632/G632*100</f>
        <v>111.96792975224272</v>
      </c>
      <c r="K632" s="433">
        <f t="shared" si="57"/>
        <v>98.7382869347628</v>
      </c>
    </row>
    <row r="633" spans="1:11" ht="36">
      <c r="A633" s="93" t="s">
        <v>1435</v>
      </c>
      <c r="B633" s="82" t="s">
        <v>1097</v>
      </c>
      <c r="C633" s="85" t="s">
        <v>589</v>
      </c>
      <c r="D633" s="85" t="s">
        <v>1603</v>
      </c>
      <c r="E633" s="85" t="s">
        <v>144</v>
      </c>
      <c r="F633" s="85"/>
      <c r="G633" s="90">
        <f>G634+G638</f>
        <v>14824.1</v>
      </c>
      <c r="H633" s="90">
        <f>H634+H638</f>
        <v>14169.6</v>
      </c>
      <c r="I633" s="422">
        <f>I634+I638</f>
        <v>13027.6</v>
      </c>
      <c r="J633" s="203">
        <f>I633/G633*100</f>
        <v>87.88122044508604</v>
      </c>
      <c r="K633" s="433">
        <f t="shared" si="57"/>
        <v>91.94049232158989</v>
      </c>
    </row>
    <row r="634" spans="1:11" ht="24">
      <c r="A634" s="87" t="s">
        <v>1599</v>
      </c>
      <c r="B634" s="82" t="s">
        <v>1097</v>
      </c>
      <c r="C634" s="85" t="s">
        <v>589</v>
      </c>
      <c r="D634" s="85" t="s">
        <v>1603</v>
      </c>
      <c r="E634" s="85" t="s">
        <v>1884</v>
      </c>
      <c r="F634" s="85" t="s">
        <v>1071</v>
      </c>
      <c r="G634" s="90">
        <f>G635+G636+G637</f>
        <v>14688.1</v>
      </c>
      <c r="H634" s="90">
        <f>H635+H636+H637</f>
        <v>14033.6</v>
      </c>
      <c r="I634" s="422">
        <f>I635+I636+I637</f>
        <v>12931.4</v>
      </c>
      <c r="J634" s="203">
        <f>I634/G634*100</f>
        <v>88.03997794132665</v>
      </c>
      <c r="K634" s="433">
        <f t="shared" si="57"/>
        <v>92.14599247520236</v>
      </c>
    </row>
    <row r="635" spans="1:11" ht="24">
      <c r="A635" s="87" t="s">
        <v>1832</v>
      </c>
      <c r="B635" s="82" t="s">
        <v>1097</v>
      </c>
      <c r="C635" s="85" t="s">
        <v>589</v>
      </c>
      <c r="D635" s="85" t="s">
        <v>1603</v>
      </c>
      <c r="E635" s="85" t="s">
        <v>1884</v>
      </c>
      <c r="F635" s="85" t="s">
        <v>1833</v>
      </c>
      <c r="G635" s="90"/>
      <c r="H635" s="90">
        <f>13532.5-937-283-100</f>
        <v>12212.5</v>
      </c>
      <c r="I635" s="422">
        <v>11199.4</v>
      </c>
      <c r="J635" s="203"/>
      <c r="K635" s="433">
        <f aca="true" t="shared" si="62" ref="K635:K698">I635/H635*100</f>
        <v>91.70440122824974</v>
      </c>
    </row>
    <row r="636" spans="1:11" ht="24">
      <c r="A636" s="87" t="s">
        <v>1729</v>
      </c>
      <c r="B636" s="82" t="s">
        <v>1097</v>
      </c>
      <c r="C636" s="85" t="s">
        <v>589</v>
      </c>
      <c r="D636" s="85" t="s">
        <v>1603</v>
      </c>
      <c r="E636" s="85" t="s">
        <v>1884</v>
      </c>
      <c r="F636" s="85" t="s">
        <v>1837</v>
      </c>
      <c r="G636" s="90"/>
      <c r="H636" s="90">
        <f>1371.1+350+100</f>
        <v>1821.1</v>
      </c>
      <c r="I636" s="422">
        <v>1732</v>
      </c>
      <c r="J636" s="203"/>
      <c r="K636" s="433">
        <f t="shared" si="62"/>
        <v>95.10735269891825</v>
      </c>
    </row>
    <row r="637" spans="1:11" ht="24">
      <c r="A637" s="87" t="s">
        <v>171</v>
      </c>
      <c r="B637" s="82" t="s">
        <v>1097</v>
      </c>
      <c r="C637" s="85" t="s">
        <v>589</v>
      </c>
      <c r="D637" s="85" t="s">
        <v>1603</v>
      </c>
      <c r="E637" s="85" t="s">
        <v>1884</v>
      </c>
      <c r="F637" s="85" t="s">
        <v>436</v>
      </c>
      <c r="G637" s="90">
        <v>14688.1</v>
      </c>
      <c r="H637" s="90"/>
      <c r="I637" s="422"/>
      <c r="J637" s="203">
        <f>I637/G637*100</f>
        <v>0</v>
      </c>
      <c r="K637" s="433"/>
    </row>
    <row r="638" spans="1:11" ht="24">
      <c r="A638" s="349" t="s">
        <v>1840</v>
      </c>
      <c r="B638" s="82" t="s">
        <v>1097</v>
      </c>
      <c r="C638" s="85" t="s">
        <v>589</v>
      </c>
      <c r="D638" s="85" t="s">
        <v>1603</v>
      </c>
      <c r="E638" s="85" t="s">
        <v>1841</v>
      </c>
      <c r="F638" s="85" t="s">
        <v>1071</v>
      </c>
      <c r="G638" s="90">
        <f>G639+G640</f>
        <v>136</v>
      </c>
      <c r="H638" s="90">
        <f>H639+H640</f>
        <v>136</v>
      </c>
      <c r="I638" s="422">
        <f>I639+I640</f>
        <v>96.2</v>
      </c>
      <c r="J638" s="203">
        <f>I638/G638*100</f>
        <v>70.73529411764706</v>
      </c>
      <c r="K638" s="433">
        <f t="shared" si="62"/>
        <v>70.73529411764706</v>
      </c>
    </row>
    <row r="639" spans="1:11" ht="24">
      <c r="A639" s="87" t="s">
        <v>171</v>
      </c>
      <c r="B639" s="82" t="s">
        <v>1097</v>
      </c>
      <c r="C639" s="85" t="s">
        <v>589</v>
      </c>
      <c r="D639" s="85" t="s">
        <v>1603</v>
      </c>
      <c r="E639" s="85" t="s">
        <v>1841</v>
      </c>
      <c r="F639" s="85" t="s">
        <v>436</v>
      </c>
      <c r="G639" s="90">
        <v>136</v>
      </c>
      <c r="H639" s="90"/>
      <c r="I639" s="422"/>
      <c r="J639" s="203">
        <f>I639/G639*100</f>
        <v>0</v>
      </c>
      <c r="K639" s="433"/>
    </row>
    <row r="640" spans="1:11" ht="24">
      <c r="A640" s="349" t="s">
        <v>1840</v>
      </c>
      <c r="B640" s="82" t="s">
        <v>1097</v>
      </c>
      <c r="C640" s="85" t="s">
        <v>589</v>
      </c>
      <c r="D640" s="85" t="s">
        <v>1603</v>
      </c>
      <c r="E640" s="85" t="s">
        <v>1841</v>
      </c>
      <c r="F640" s="85" t="s">
        <v>1842</v>
      </c>
      <c r="G640" s="90"/>
      <c r="H640" s="90">
        <v>136</v>
      </c>
      <c r="I640" s="422">
        <v>96.2</v>
      </c>
      <c r="J640" s="203"/>
      <c r="K640" s="433">
        <f t="shared" si="62"/>
        <v>70.73529411764706</v>
      </c>
    </row>
    <row r="641" spans="1:11" ht="24">
      <c r="A641" s="94" t="s">
        <v>1382</v>
      </c>
      <c r="B641" s="82" t="s">
        <v>1097</v>
      </c>
      <c r="C641" s="85" t="s">
        <v>589</v>
      </c>
      <c r="D641" s="85" t="s">
        <v>1603</v>
      </c>
      <c r="E641" s="85" t="s">
        <v>1383</v>
      </c>
      <c r="F641" s="85"/>
      <c r="G641" s="90">
        <f aca="true" t="shared" si="63" ref="G641:I642">G642</f>
        <v>335</v>
      </c>
      <c r="H641" s="90">
        <f t="shared" si="63"/>
        <v>335</v>
      </c>
      <c r="I641" s="422">
        <f t="shared" si="63"/>
        <v>327.1</v>
      </c>
      <c r="J641" s="203">
        <f aca="true" t="shared" si="64" ref="J641:J646">I641/G641*100</f>
        <v>97.64179104477613</v>
      </c>
      <c r="K641" s="433">
        <f t="shared" si="62"/>
        <v>97.64179104477613</v>
      </c>
    </row>
    <row r="642" spans="1:11" ht="24">
      <c r="A642" s="87" t="s">
        <v>41</v>
      </c>
      <c r="B642" s="82" t="s">
        <v>1097</v>
      </c>
      <c r="C642" s="85" t="s">
        <v>589</v>
      </c>
      <c r="D642" s="85" t="s">
        <v>1603</v>
      </c>
      <c r="E642" s="85" t="s">
        <v>42</v>
      </c>
      <c r="F642" s="85" t="s">
        <v>1071</v>
      </c>
      <c r="G642" s="90">
        <f t="shared" si="63"/>
        <v>335</v>
      </c>
      <c r="H642" s="90">
        <f t="shared" si="63"/>
        <v>335</v>
      </c>
      <c r="I642" s="422">
        <f t="shared" si="63"/>
        <v>327.1</v>
      </c>
      <c r="J642" s="203">
        <f t="shared" si="64"/>
        <v>97.64179104477613</v>
      </c>
      <c r="K642" s="433">
        <f t="shared" si="62"/>
        <v>97.64179104477613</v>
      </c>
    </row>
    <row r="643" spans="1:11" ht="24">
      <c r="A643" s="87" t="s">
        <v>1100</v>
      </c>
      <c r="B643" s="82" t="s">
        <v>1097</v>
      </c>
      <c r="C643" s="85" t="s">
        <v>589</v>
      </c>
      <c r="D643" s="85" t="s">
        <v>1603</v>
      </c>
      <c r="E643" s="85" t="s">
        <v>42</v>
      </c>
      <c r="F643" s="85" t="s">
        <v>1243</v>
      </c>
      <c r="G643" s="90">
        <v>335</v>
      </c>
      <c r="H643" s="90">
        <v>335</v>
      </c>
      <c r="I643" s="422">
        <v>327.1</v>
      </c>
      <c r="J643" s="203">
        <f t="shared" si="64"/>
        <v>97.64179104477613</v>
      </c>
      <c r="K643" s="433">
        <f t="shared" si="62"/>
        <v>97.64179104477613</v>
      </c>
    </row>
    <row r="644" spans="1:11" ht="48">
      <c r="A644" s="94" t="s">
        <v>1366</v>
      </c>
      <c r="B644" s="82" t="s">
        <v>1097</v>
      </c>
      <c r="C644" s="85" t="s">
        <v>589</v>
      </c>
      <c r="D644" s="85" t="s">
        <v>1603</v>
      </c>
      <c r="E644" s="85" t="s">
        <v>1367</v>
      </c>
      <c r="F644" s="85"/>
      <c r="G644" s="90">
        <f>G645</f>
        <v>69068.5</v>
      </c>
      <c r="H644" s="90">
        <f>H645</f>
        <v>81008.4</v>
      </c>
      <c r="I644" s="422">
        <f>I645</f>
        <v>80953.2</v>
      </c>
      <c r="J644" s="203">
        <f t="shared" si="64"/>
        <v>117.2071204673621</v>
      </c>
      <c r="K644" s="433">
        <f t="shared" si="62"/>
        <v>99.9318589183344</v>
      </c>
    </row>
    <row r="645" spans="1:11" ht="24">
      <c r="A645" s="87" t="s">
        <v>743</v>
      </c>
      <c r="B645" s="82" t="s">
        <v>1097</v>
      </c>
      <c r="C645" s="85" t="s">
        <v>589</v>
      </c>
      <c r="D645" s="85" t="s">
        <v>1603</v>
      </c>
      <c r="E645" s="85" t="s">
        <v>1416</v>
      </c>
      <c r="F645" s="85" t="s">
        <v>744</v>
      </c>
      <c r="G645" s="90">
        <f>G646+G647</f>
        <v>69068.5</v>
      </c>
      <c r="H645" s="90">
        <f>H646+H647</f>
        <v>81008.4</v>
      </c>
      <c r="I645" s="422">
        <f>I646+I647</f>
        <v>80953.2</v>
      </c>
      <c r="J645" s="203">
        <f t="shared" si="64"/>
        <v>117.2071204673621</v>
      </c>
      <c r="K645" s="433">
        <f t="shared" si="62"/>
        <v>99.9318589183344</v>
      </c>
    </row>
    <row r="646" spans="1:11" ht="24">
      <c r="A646" s="87" t="s">
        <v>745</v>
      </c>
      <c r="B646" s="82" t="s">
        <v>1097</v>
      </c>
      <c r="C646" s="85" t="s">
        <v>589</v>
      </c>
      <c r="D646" s="85" t="s">
        <v>1603</v>
      </c>
      <c r="E646" s="85" t="s">
        <v>1416</v>
      </c>
      <c r="F646" s="85" t="s">
        <v>746</v>
      </c>
      <c r="G646" s="90">
        <v>69068.5</v>
      </c>
      <c r="H646" s="90">
        <v>74108.4</v>
      </c>
      <c r="I646" s="422">
        <v>74058.3</v>
      </c>
      <c r="J646" s="203">
        <f t="shared" si="64"/>
        <v>107.2244221316519</v>
      </c>
      <c r="K646" s="433">
        <f t="shared" si="62"/>
        <v>99.93239632754182</v>
      </c>
    </row>
    <row r="647" spans="1:11" ht="24">
      <c r="A647" s="87" t="s">
        <v>299</v>
      </c>
      <c r="B647" s="82" t="s">
        <v>1097</v>
      </c>
      <c r="C647" s="85" t="s">
        <v>589</v>
      </c>
      <c r="D647" s="85" t="s">
        <v>1603</v>
      </c>
      <c r="E647" s="85" t="s">
        <v>1416</v>
      </c>
      <c r="F647" s="85" t="s">
        <v>1637</v>
      </c>
      <c r="G647" s="90">
        <f>G648+G649</f>
        <v>0</v>
      </c>
      <c r="H647" s="90">
        <f>H648+H649</f>
        <v>6900</v>
      </c>
      <c r="I647" s="422">
        <f>I648+I649</f>
        <v>6894.9</v>
      </c>
      <c r="J647" s="203"/>
      <c r="K647" s="433">
        <f t="shared" si="62"/>
        <v>99.92608695652173</v>
      </c>
    </row>
    <row r="648" spans="1:11" ht="24">
      <c r="A648" s="87" t="s">
        <v>1690</v>
      </c>
      <c r="B648" s="82" t="s">
        <v>1097</v>
      </c>
      <c r="C648" s="85" t="s">
        <v>589</v>
      </c>
      <c r="D648" s="85" t="s">
        <v>1603</v>
      </c>
      <c r="E648" s="85" t="s">
        <v>1691</v>
      </c>
      <c r="F648" s="85" t="s">
        <v>1637</v>
      </c>
      <c r="G648" s="90"/>
      <c r="H648" s="90">
        <f>135+1010+1845+1800+1845</f>
        <v>6635</v>
      </c>
      <c r="I648" s="422">
        <v>6629.9</v>
      </c>
      <c r="J648" s="203"/>
      <c r="K648" s="433">
        <f t="shared" si="62"/>
        <v>99.92313489073096</v>
      </c>
    </row>
    <row r="649" spans="1:11" ht="24">
      <c r="A649" s="87" t="s">
        <v>1589</v>
      </c>
      <c r="B649" s="82" t="s">
        <v>1097</v>
      </c>
      <c r="C649" s="85" t="s">
        <v>589</v>
      </c>
      <c r="D649" s="85" t="s">
        <v>1603</v>
      </c>
      <c r="E649" s="85" t="s">
        <v>1691</v>
      </c>
      <c r="F649" s="85" t="s">
        <v>1637</v>
      </c>
      <c r="G649" s="90"/>
      <c r="H649" s="90">
        <v>265</v>
      </c>
      <c r="I649" s="422">
        <v>265</v>
      </c>
      <c r="J649" s="203"/>
      <c r="K649" s="433">
        <f t="shared" si="62"/>
        <v>100</v>
      </c>
    </row>
    <row r="650" spans="1:11" ht="15.75" hidden="1">
      <c r="A650" s="86" t="s">
        <v>909</v>
      </c>
      <c r="B650" s="82" t="s">
        <v>1097</v>
      </c>
      <c r="C650" s="85" t="s">
        <v>589</v>
      </c>
      <c r="D650" s="85" t="s">
        <v>583</v>
      </c>
      <c r="E650" s="85" t="s">
        <v>910</v>
      </c>
      <c r="F650" s="85"/>
      <c r="G650" s="90">
        <f>G651</f>
        <v>0</v>
      </c>
      <c r="H650" s="90">
        <f>H651</f>
        <v>0</v>
      </c>
      <c r="I650" s="422">
        <f>I651</f>
        <v>0</v>
      </c>
      <c r="J650" s="203" t="e">
        <f aca="true" t="shared" si="65" ref="J650:J661">I650/G650*100</f>
        <v>#DIV/0!</v>
      </c>
      <c r="K650" s="433" t="e">
        <f t="shared" si="62"/>
        <v>#DIV/0!</v>
      </c>
    </row>
    <row r="651" spans="1:11" ht="24" hidden="1">
      <c r="A651" s="87" t="s">
        <v>44</v>
      </c>
      <c r="B651" s="82" t="s">
        <v>1097</v>
      </c>
      <c r="C651" s="85" t="s">
        <v>589</v>
      </c>
      <c r="D651" s="85" t="s">
        <v>583</v>
      </c>
      <c r="E651" s="85" t="s">
        <v>910</v>
      </c>
      <c r="F651" s="85" t="s">
        <v>45</v>
      </c>
      <c r="G651" s="90"/>
      <c r="H651" s="90"/>
      <c r="I651" s="422"/>
      <c r="J651" s="203" t="e">
        <f t="shared" si="65"/>
        <v>#DIV/0!</v>
      </c>
      <c r="K651" s="433" t="e">
        <f t="shared" si="62"/>
        <v>#DIV/0!</v>
      </c>
    </row>
    <row r="652" spans="1:11" ht="15.75" hidden="1">
      <c r="A652" s="87" t="s">
        <v>1758</v>
      </c>
      <c r="B652" s="82" t="s">
        <v>1097</v>
      </c>
      <c r="C652" s="85" t="s">
        <v>589</v>
      </c>
      <c r="D652" s="85" t="s">
        <v>1603</v>
      </c>
      <c r="E652" s="85" t="s">
        <v>1416</v>
      </c>
      <c r="F652" s="85" t="s">
        <v>1878</v>
      </c>
      <c r="G652" s="90"/>
      <c r="H652" s="90"/>
      <c r="I652" s="422"/>
      <c r="J652" s="203" t="e">
        <f t="shared" si="65"/>
        <v>#DIV/0!</v>
      </c>
      <c r="K652" s="433" t="e">
        <f t="shared" si="62"/>
        <v>#DIV/0!</v>
      </c>
    </row>
    <row r="653" spans="1:11" ht="15">
      <c r="A653" s="175" t="s">
        <v>278</v>
      </c>
      <c r="B653" s="82" t="s">
        <v>1097</v>
      </c>
      <c r="C653" s="103" t="s">
        <v>1083</v>
      </c>
      <c r="D653" s="103"/>
      <c r="E653" s="103"/>
      <c r="F653" s="103"/>
      <c r="G653" s="90">
        <f>G654</f>
        <v>106451</v>
      </c>
      <c r="H653" s="90">
        <f>H654</f>
        <v>107897</v>
      </c>
      <c r="I653" s="422">
        <f>I654</f>
        <v>106192.4</v>
      </c>
      <c r="J653" s="203">
        <f t="shared" si="65"/>
        <v>99.75707132859249</v>
      </c>
      <c r="K653" s="433">
        <f t="shared" si="62"/>
        <v>98.42015996737629</v>
      </c>
    </row>
    <row r="654" spans="1:11" ht="15">
      <c r="A654" s="91" t="s">
        <v>160</v>
      </c>
      <c r="B654" s="82" t="s">
        <v>1097</v>
      </c>
      <c r="C654" s="85" t="s">
        <v>1083</v>
      </c>
      <c r="D654" s="85" t="s">
        <v>141</v>
      </c>
      <c r="E654" s="102"/>
      <c r="F654" s="102"/>
      <c r="G654" s="90">
        <f>G655+G658+G673+G680+G687</f>
        <v>106451</v>
      </c>
      <c r="H654" s="90">
        <f>H655+H658+H673+H680+H687</f>
        <v>107897</v>
      </c>
      <c r="I654" s="422">
        <f>I655+I658+I673+I680+I687</f>
        <v>106192.4</v>
      </c>
      <c r="J654" s="203">
        <f t="shared" si="65"/>
        <v>99.75707132859249</v>
      </c>
      <c r="K654" s="433">
        <f t="shared" si="62"/>
        <v>98.42015996737629</v>
      </c>
    </row>
    <row r="655" spans="1:11" ht="24.75" hidden="1">
      <c r="A655" s="107" t="s">
        <v>1393</v>
      </c>
      <c r="B655" s="82" t="s">
        <v>1097</v>
      </c>
      <c r="C655" s="85" t="s">
        <v>1083</v>
      </c>
      <c r="D655" s="85" t="s">
        <v>141</v>
      </c>
      <c r="E655" s="85" t="s">
        <v>936</v>
      </c>
      <c r="F655" s="85"/>
      <c r="G655" s="90">
        <f aca="true" t="shared" si="66" ref="G655:I656">G656</f>
        <v>0</v>
      </c>
      <c r="H655" s="90">
        <f t="shared" si="66"/>
        <v>0</v>
      </c>
      <c r="I655" s="422">
        <f t="shared" si="66"/>
        <v>0</v>
      </c>
      <c r="J655" s="203" t="e">
        <f t="shared" si="65"/>
        <v>#DIV/0!</v>
      </c>
      <c r="K655" s="433" t="e">
        <f t="shared" si="62"/>
        <v>#DIV/0!</v>
      </c>
    </row>
    <row r="656" spans="1:11" ht="24.75" hidden="1">
      <c r="A656" s="108" t="s">
        <v>670</v>
      </c>
      <c r="B656" s="82" t="s">
        <v>1097</v>
      </c>
      <c r="C656" s="85" t="s">
        <v>1083</v>
      </c>
      <c r="D656" s="85" t="s">
        <v>141</v>
      </c>
      <c r="E656" s="85" t="s">
        <v>1049</v>
      </c>
      <c r="F656" s="85" t="s">
        <v>1071</v>
      </c>
      <c r="G656" s="90">
        <f t="shared" si="66"/>
        <v>0</v>
      </c>
      <c r="H656" s="90">
        <f t="shared" si="66"/>
        <v>0</v>
      </c>
      <c r="I656" s="422">
        <f t="shared" si="66"/>
        <v>0</v>
      </c>
      <c r="J656" s="203" t="e">
        <f t="shared" si="65"/>
        <v>#DIV/0!</v>
      </c>
      <c r="K656" s="433" t="e">
        <f t="shared" si="62"/>
        <v>#DIV/0!</v>
      </c>
    </row>
    <row r="657" spans="1:11" ht="24" hidden="1">
      <c r="A657" s="92" t="s">
        <v>956</v>
      </c>
      <c r="B657" s="82" t="s">
        <v>1097</v>
      </c>
      <c r="C657" s="85" t="s">
        <v>1083</v>
      </c>
      <c r="D657" s="85" t="s">
        <v>141</v>
      </c>
      <c r="E657" s="85" t="s">
        <v>1049</v>
      </c>
      <c r="F657" s="85" t="s">
        <v>926</v>
      </c>
      <c r="G657" s="90"/>
      <c r="H657" s="90"/>
      <c r="I657" s="422"/>
      <c r="J657" s="203" t="e">
        <f t="shared" si="65"/>
        <v>#DIV/0!</v>
      </c>
      <c r="K657" s="433" t="e">
        <f t="shared" si="62"/>
        <v>#DIV/0!</v>
      </c>
    </row>
    <row r="658" spans="1:11" ht="24">
      <c r="A658" s="93" t="s">
        <v>241</v>
      </c>
      <c r="B658" s="82" t="s">
        <v>1097</v>
      </c>
      <c r="C658" s="85" t="s">
        <v>1083</v>
      </c>
      <c r="D658" s="85" t="s">
        <v>141</v>
      </c>
      <c r="E658" s="85" t="s">
        <v>242</v>
      </c>
      <c r="F658" s="85"/>
      <c r="G658" s="90">
        <f>G659</f>
        <v>104451</v>
      </c>
      <c r="H658" s="90">
        <f>H659</f>
        <v>100823</v>
      </c>
      <c r="I658" s="422">
        <f>I659</f>
        <v>99550.2</v>
      </c>
      <c r="J658" s="203">
        <f t="shared" si="65"/>
        <v>95.30803917626447</v>
      </c>
      <c r="K658" s="433">
        <f t="shared" si="62"/>
        <v>98.73758963728514</v>
      </c>
    </row>
    <row r="659" spans="1:11" ht="24">
      <c r="A659" s="87" t="s">
        <v>661</v>
      </c>
      <c r="B659" s="82" t="s">
        <v>1097</v>
      </c>
      <c r="C659" s="85" t="s">
        <v>1083</v>
      </c>
      <c r="D659" s="85" t="s">
        <v>141</v>
      </c>
      <c r="E659" s="85" t="s">
        <v>243</v>
      </c>
      <c r="F659" s="85" t="s">
        <v>1071</v>
      </c>
      <c r="G659" s="90">
        <f>G660+G665</f>
        <v>104451</v>
      </c>
      <c r="H659" s="90">
        <f>H660+H665</f>
        <v>100823</v>
      </c>
      <c r="I659" s="422">
        <f>I660+I665</f>
        <v>99550.2</v>
      </c>
      <c r="J659" s="203">
        <f t="shared" si="65"/>
        <v>95.30803917626447</v>
      </c>
      <c r="K659" s="433">
        <f t="shared" si="62"/>
        <v>98.73758963728514</v>
      </c>
    </row>
    <row r="660" spans="1:11" ht="24">
      <c r="A660" s="87" t="s">
        <v>819</v>
      </c>
      <c r="B660" s="82" t="s">
        <v>1097</v>
      </c>
      <c r="C660" s="85" t="s">
        <v>1083</v>
      </c>
      <c r="D660" s="85" t="s">
        <v>141</v>
      </c>
      <c r="E660" s="85" t="s">
        <v>243</v>
      </c>
      <c r="F660" s="85" t="s">
        <v>744</v>
      </c>
      <c r="G660" s="90">
        <f>G661+G662</f>
        <v>24445</v>
      </c>
      <c r="H660" s="90">
        <f>H661+H662</f>
        <v>23728</v>
      </c>
      <c r="I660" s="422">
        <f>I661+I662</f>
        <v>23682.7</v>
      </c>
      <c r="J660" s="203">
        <f t="shared" si="65"/>
        <v>96.88157087338925</v>
      </c>
      <c r="K660" s="433">
        <f t="shared" si="62"/>
        <v>99.80908631153068</v>
      </c>
    </row>
    <row r="661" spans="1:11" ht="24">
      <c r="A661" s="87" t="s">
        <v>745</v>
      </c>
      <c r="B661" s="82" t="s">
        <v>1097</v>
      </c>
      <c r="C661" s="85" t="s">
        <v>1083</v>
      </c>
      <c r="D661" s="85" t="s">
        <v>141</v>
      </c>
      <c r="E661" s="85" t="s">
        <v>243</v>
      </c>
      <c r="F661" s="85" t="s">
        <v>746</v>
      </c>
      <c r="G661" s="90">
        <v>24445</v>
      </c>
      <c r="H661" s="90">
        <f>2415+22030-1674-86.9-460.8-61+407</f>
        <v>22569.3</v>
      </c>
      <c r="I661" s="422">
        <v>22551.8</v>
      </c>
      <c r="J661" s="203">
        <f t="shared" si="65"/>
        <v>92.25526692575168</v>
      </c>
      <c r="K661" s="433">
        <f t="shared" si="62"/>
        <v>99.9224610422122</v>
      </c>
    </row>
    <row r="662" spans="1:11" ht="24">
      <c r="A662" s="87" t="s">
        <v>299</v>
      </c>
      <c r="B662" s="82" t="s">
        <v>1097</v>
      </c>
      <c r="C662" s="85" t="s">
        <v>1083</v>
      </c>
      <c r="D662" s="85" t="s">
        <v>141</v>
      </c>
      <c r="E662" s="85" t="s">
        <v>243</v>
      </c>
      <c r="F662" s="85" t="s">
        <v>1637</v>
      </c>
      <c r="G662" s="90">
        <f>G663+G664</f>
        <v>0</v>
      </c>
      <c r="H662" s="90">
        <f>H663+H664</f>
        <v>1158.7</v>
      </c>
      <c r="I662" s="422">
        <f>I663+I664</f>
        <v>1130.9</v>
      </c>
      <c r="J662" s="203"/>
      <c r="K662" s="433">
        <f t="shared" si="62"/>
        <v>97.60075947182187</v>
      </c>
    </row>
    <row r="663" spans="1:11" ht="24">
      <c r="A663" s="87" t="s">
        <v>672</v>
      </c>
      <c r="B663" s="82" t="s">
        <v>1097</v>
      </c>
      <c r="C663" s="85" t="s">
        <v>1083</v>
      </c>
      <c r="D663" s="85" t="s">
        <v>141</v>
      </c>
      <c r="E663" s="85" t="s">
        <v>243</v>
      </c>
      <c r="F663" s="85" t="s">
        <v>1637</v>
      </c>
      <c r="G663" s="90"/>
      <c r="H663" s="90">
        <v>550</v>
      </c>
      <c r="I663" s="422">
        <v>522.2</v>
      </c>
      <c r="J663" s="203"/>
      <c r="K663" s="433">
        <f t="shared" si="62"/>
        <v>94.94545454545455</v>
      </c>
    </row>
    <row r="664" spans="1:11" ht="24">
      <c r="A664" s="358" t="s">
        <v>1595</v>
      </c>
      <c r="B664" s="82" t="s">
        <v>1097</v>
      </c>
      <c r="C664" s="85" t="s">
        <v>1083</v>
      </c>
      <c r="D664" s="85" t="s">
        <v>141</v>
      </c>
      <c r="E664" s="85" t="s">
        <v>243</v>
      </c>
      <c r="F664" s="85" t="s">
        <v>1637</v>
      </c>
      <c r="G664" s="90"/>
      <c r="H664" s="90">
        <f>86.9+460.8+61</f>
        <v>608.7</v>
      </c>
      <c r="I664" s="422">
        <v>608.7</v>
      </c>
      <c r="J664" s="203"/>
      <c r="K664" s="433">
        <f t="shared" si="62"/>
        <v>100</v>
      </c>
    </row>
    <row r="665" spans="1:11" ht="24">
      <c r="A665" s="87" t="s">
        <v>302</v>
      </c>
      <c r="B665" s="82" t="s">
        <v>1097</v>
      </c>
      <c r="C665" s="85" t="s">
        <v>1083</v>
      </c>
      <c r="D665" s="85" t="s">
        <v>141</v>
      </c>
      <c r="E665" s="85" t="s">
        <v>243</v>
      </c>
      <c r="F665" s="85" t="s">
        <v>296</v>
      </c>
      <c r="G665" s="90">
        <f>G666+G667</f>
        <v>80006</v>
      </c>
      <c r="H665" s="90">
        <f>H666+H667</f>
        <v>77095</v>
      </c>
      <c r="I665" s="422">
        <f>I666+I667</f>
        <v>75867.5</v>
      </c>
      <c r="J665" s="203">
        <f>I665/G665*100</f>
        <v>94.82726295527836</v>
      </c>
      <c r="K665" s="433">
        <f t="shared" si="62"/>
        <v>98.40780854789546</v>
      </c>
    </row>
    <row r="666" spans="1:11" ht="24">
      <c r="A666" s="87" t="s">
        <v>303</v>
      </c>
      <c r="B666" s="82" t="s">
        <v>1097</v>
      </c>
      <c r="C666" s="85" t="s">
        <v>1083</v>
      </c>
      <c r="D666" s="85" t="s">
        <v>141</v>
      </c>
      <c r="E666" s="85" t="s">
        <v>243</v>
      </c>
      <c r="F666" s="85" t="s">
        <v>304</v>
      </c>
      <c r="G666" s="90">
        <v>78606</v>
      </c>
      <c r="H666" s="90">
        <f>54522-1000+25484-400-1511-2000-1214.8-1200</f>
        <v>72680.2</v>
      </c>
      <c r="I666" s="422">
        <v>71528.9</v>
      </c>
      <c r="J666" s="203">
        <f>I666/G666*100</f>
        <v>90.9967432511513</v>
      </c>
      <c r="K666" s="433">
        <f t="shared" si="62"/>
        <v>98.41593721536263</v>
      </c>
    </row>
    <row r="667" spans="1:11" ht="24">
      <c r="A667" s="87" t="s">
        <v>673</v>
      </c>
      <c r="B667" s="82" t="s">
        <v>1097</v>
      </c>
      <c r="C667" s="85" t="s">
        <v>1083</v>
      </c>
      <c r="D667" s="85" t="s">
        <v>141</v>
      </c>
      <c r="E667" s="85" t="s">
        <v>243</v>
      </c>
      <c r="F667" s="85" t="s">
        <v>801</v>
      </c>
      <c r="G667" s="90">
        <f>G668+G669+G670+G671+G672</f>
        <v>1400</v>
      </c>
      <c r="H667" s="90">
        <f>H668+H669+H671+H672</f>
        <v>4414.8</v>
      </c>
      <c r="I667" s="422">
        <f>I668+I669+I671+I672</f>
        <v>4338.6</v>
      </c>
      <c r="J667" s="421" t="s">
        <v>1212</v>
      </c>
      <c r="K667" s="433">
        <f t="shared" si="62"/>
        <v>98.27398749660235</v>
      </c>
    </row>
    <row r="668" spans="1:11" ht="24">
      <c r="A668" s="87" t="s">
        <v>674</v>
      </c>
      <c r="B668" s="82" t="s">
        <v>1097</v>
      </c>
      <c r="C668" s="85" t="s">
        <v>1083</v>
      </c>
      <c r="D668" s="85" t="s">
        <v>141</v>
      </c>
      <c r="E668" s="85" t="s">
        <v>675</v>
      </c>
      <c r="F668" s="85" t="s">
        <v>801</v>
      </c>
      <c r="G668" s="90"/>
      <c r="H668" s="90">
        <f>1099.4+900.6-900.6</f>
        <v>1099.4</v>
      </c>
      <c r="I668" s="422">
        <v>1099.4</v>
      </c>
      <c r="J668" s="203"/>
      <c r="K668" s="433">
        <f t="shared" si="62"/>
        <v>100</v>
      </c>
    </row>
    <row r="669" spans="1:11" ht="15.75" hidden="1">
      <c r="A669" s="87"/>
      <c r="B669" s="82" t="s">
        <v>1097</v>
      </c>
      <c r="C669" s="85" t="s">
        <v>1083</v>
      </c>
      <c r="D669" s="85" t="s">
        <v>141</v>
      </c>
      <c r="E669" s="85" t="s">
        <v>243</v>
      </c>
      <c r="F669" s="85" t="s">
        <v>801</v>
      </c>
      <c r="G669" s="90">
        <f>900.6-900.6</f>
        <v>0</v>
      </c>
      <c r="H669" s="90">
        <f>900.6-900.6</f>
        <v>0</v>
      </c>
      <c r="I669" s="422">
        <f>900.6-900.6</f>
        <v>0</v>
      </c>
      <c r="J669" s="203"/>
      <c r="K669" s="433" t="e">
        <f t="shared" si="62"/>
        <v>#DIV/0!</v>
      </c>
    </row>
    <row r="670" spans="1:11" ht="24">
      <c r="A670" s="87" t="s">
        <v>1896</v>
      </c>
      <c r="B670" s="82" t="s">
        <v>1097</v>
      </c>
      <c r="C670" s="85" t="s">
        <v>1083</v>
      </c>
      <c r="D670" s="85" t="s">
        <v>141</v>
      </c>
      <c r="E670" s="85" t="s">
        <v>675</v>
      </c>
      <c r="F670" s="85" t="s">
        <v>801</v>
      </c>
      <c r="G670" s="90">
        <v>1400</v>
      </c>
      <c r="H670" s="90"/>
      <c r="I670" s="422"/>
      <c r="J670" s="203"/>
      <c r="K670" s="433"/>
    </row>
    <row r="671" spans="1:11" ht="24">
      <c r="A671" s="87" t="s">
        <v>1264</v>
      </c>
      <c r="B671" s="82" t="s">
        <v>1097</v>
      </c>
      <c r="C671" s="85" t="s">
        <v>1083</v>
      </c>
      <c r="D671" s="85" t="s">
        <v>141</v>
      </c>
      <c r="E671" s="85" t="s">
        <v>675</v>
      </c>
      <c r="F671" s="85" t="s">
        <v>801</v>
      </c>
      <c r="G671" s="90"/>
      <c r="H671" s="90">
        <f>400+1263.6+199-0.1+592.9+800</f>
        <v>3255.4</v>
      </c>
      <c r="I671" s="422">
        <v>3179.3</v>
      </c>
      <c r="J671" s="203"/>
      <c r="K671" s="433">
        <f t="shared" si="62"/>
        <v>97.66234564108865</v>
      </c>
    </row>
    <row r="672" spans="1:11" ht="24">
      <c r="A672" s="87" t="s">
        <v>677</v>
      </c>
      <c r="B672" s="82" t="s">
        <v>1097</v>
      </c>
      <c r="C672" s="85" t="s">
        <v>1083</v>
      </c>
      <c r="D672" s="85" t="s">
        <v>141</v>
      </c>
      <c r="E672" s="85" t="s">
        <v>675</v>
      </c>
      <c r="F672" s="85" t="s">
        <v>801</v>
      </c>
      <c r="G672" s="90"/>
      <c r="H672" s="90">
        <v>60</v>
      </c>
      <c r="I672" s="422">
        <v>59.9</v>
      </c>
      <c r="J672" s="203"/>
      <c r="K672" s="433">
        <f t="shared" si="62"/>
        <v>99.83333333333333</v>
      </c>
    </row>
    <row r="673" spans="1:11" ht="24">
      <c r="A673" s="93" t="s">
        <v>1101</v>
      </c>
      <c r="B673" s="82" t="s">
        <v>1097</v>
      </c>
      <c r="C673" s="85" t="s">
        <v>1083</v>
      </c>
      <c r="D673" s="85" t="s">
        <v>141</v>
      </c>
      <c r="E673" s="85" t="s">
        <v>244</v>
      </c>
      <c r="F673" s="85"/>
      <c r="G673" s="90">
        <f>G674</f>
        <v>2000</v>
      </c>
      <c r="H673" s="90">
        <f>H674</f>
        <v>0</v>
      </c>
      <c r="I673" s="422">
        <f>I674</f>
        <v>0</v>
      </c>
      <c r="J673" s="203">
        <f aca="true" t="shared" si="67" ref="J673:J679">I673/G673*100</f>
        <v>0</v>
      </c>
      <c r="K673" s="433"/>
    </row>
    <row r="674" spans="1:11" ht="24">
      <c r="A674" s="87" t="s">
        <v>819</v>
      </c>
      <c r="B674" s="82" t="s">
        <v>1097</v>
      </c>
      <c r="C674" s="85" t="s">
        <v>1083</v>
      </c>
      <c r="D674" s="85" t="s">
        <v>141</v>
      </c>
      <c r="E674" s="85" t="s">
        <v>244</v>
      </c>
      <c r="F674" s="85" t="s">
        <v>744</v>
      </c>
      <c r="G674" s="90">
        <f>G675+G676</f>
        <v>2000</v>
      </c>
      <c r="H674" s="90">
        <f>H675+H676</f>
        <v>0</v>
      </c>
      <c r="I674" s="422">
        <f>I675+I676</f>
        <v>0</v>
      </c>
      <c r="J674" s="203">
        <f t="shared" si="67"/>
        <v>0</v>
      </c>
      <c r="K674" s="433"/>
    </row>
    <row r="675" spans="1:11" ht="24" hidden="1">
      <c r="A675" s="87" t="s">
        <v>745</v>
      </c>
      <c r="B675" s="82"/>
      <c r="C675" s="85" t="s">
        <v>1083</v>
      </c>
      <c r="D675" s="85" t="s">
        <v>141</v>
      </c>
      <c r="E675" s="85" t="s">
        <v>244</v>
      </c>
      <c r="F675" s="85" t="s">
        <v>746</v>
      </c>
      <c r="G675" s="90"/>
      <c r="H675" s="90"/>
      <c r="I675" s="422"/>
      <c r="J675" s="203" t="e">
        <f t="shared" si="67"/>
        <v>#DIV/0!</v>
      </c>
      <c r="K675" s="433"/>
    </row>
    <row r="676" spans="1:11" ht="24">
      <c r="A676" s="87" t="s">
        <v>1701</v>
      </c>
      <c r="B676" s="82" t="s">
        <v>1097</v>
      </c>
      <c r="C676" s="85" t="s">
        <v>1083</v>
      </c>
      <c r="D676" s="85" t="s">
        <v>141</v>
      </c>
      <c r="E676" s="85" t="s">
        <v>244</v>
      </c>
      <c r="F676" s="85" t="s">
        <v>1637</v>
      </c>
      <c r="G676" s="90">
        <f>G677</f>
        <v>2000</v>
      </c>
      <c r="H676" s="90">
        <f>H677</f>
        <v>0</v>
      </c>
      <c r="I676" s="422">
        <f>I677</f>
        <v>0</v>
      </c>
      <c r="J676" s="203">
        <f t="shared" si="67"/>
        <v>0</v>
      </c>
      <c r="K676" s="433"/>
    </row>
    <row r="677" spans="1:11" ht="24">
      <c r="A677" s="87" t="s">
        <v>679</v>
      </c>
      <c r="B677" s="82" t="s">
        <v>1097</v>
      </c>
      <c r="C677" s="85" t="s">
        <v>1083</v>
      </c>
      <c r="D677" s="85" t="s">
        <v>141</v>
      </c>
      <c r="E677" s="85" t="s">
        <v>680</v>
      </c>
      <c r="F677" s="85" t="s">
        <v>1637</v>
      </c>
      <c r="G677" s="90">
        <v>2000</v>
      </c>
      <c r="H677" s="90">
        <f>2000-2000</f>
        <v>0</v>
      </c>
      <c r="I677" s="422">
        <f>2000-2000</f>
        <v>0</v>
      </c>
      <c r="J677" s="203">
        <f t="shared" si="67"/>
        <v>0</v>
      </c>
      <c r="K677" s="433"/>
    </row>
    <row r="678" spans="1:11" ht="15.75" hidden="1">
      <c r="A678" s="87"/>
      <c r="B678" s="82"/>
      <c r="C678" s="85"/>
      <c r="D678" s="85"/>
      <c r="E678" s="85"/>
      <c r="F678" s="85"/>
      <c r="G678" s="90"/>
      <c r="H678" s="90"/>
      <c r="I678" s="422"/>
      <c r="J678" s="203" t="e">
        <f t="shared" si="67"/>
        <v>#DIV/0!</v>
      </c>
      <c r="K678" s="433" t="e">
        <f t="shared" si="62"/>
        <v>#DIV/0!</v>
      </c>
    </row>
    <row r="679" spans="1:11" ht="15.75" hidden="1">
      <c r="A679" s="87"/>
      <c r="B679" s="82"/>
      <c r="C679" s="85"/>
      <c r="D679" s="85"/>
      <c r="E679" s="85"/>
      <c r="F679" s="85"/>
      <c r="G679" s="90"/>
      <c r="H679" s="90"/>
      <c r="I679" s="422"/>
      <c r="J679" s="203" t="e">
        <f t="shared" si="67"/>
        <v>#DIV/0!</v>
      </c>
      <c r="K679" s="433" t="e">
        <f t="shared" si="62"/>
        <v>#DIV/0!</v>
      </c>
    </row>
    <row r="680" spans="1:11" ht="24">
      <c r="A680" s="360" t="s">
        <v>1664</v>
      </c>
      <c r="B680" s="82" t="s">
        <v>1097</v>
      </c>
      <c r="C680" s="85" t="s">
        <v>1083</v>
      </c>
      <c r="D680" s="85" t="s">
        <v>141</v>
      </c>
      <c r="E680" s="85" t="s">
        <v>1665</v>
      </c>
      <c r="F680" s="85" t="s">
        <v>1071</v>
      </c>
      <c r="G680" s="90">
        <f>G681+G683</f>
        <v>0</v>
      </c>
      <c r="H680" s="90">
        <f>H681+H683</f>
        <v>2000</v>
      </c>
      <c r="I680" s="422">
        <f>I681+I683</f>
        <v>1646.8000000000002</v>
      </c>
      <c r="J680" s="203"/>
      <c r="K680" s="433">
        <f t="shared" si="62"/>
        <v>82.34000000000002</v>
      </c>
    </row>
    <row r="681" spans="1:11" ht="24">
      <c r="A681" s="358" t="s">
        <v>1640</v>
      </c>
      <c r="B681" s="82" t="s">
        <v>1097</v>
      </c>
      <c r="C681" s="85" t="s">
        <v>1083</v>
      </c>
      <c r="D681" s="85" t="s">
        <v>141</v>
      </c>
      <c r="E681" s="85" t="s">
        <v>1665</v>
      </c>
      <c r="F681" s="85" t="s">
        <v>1637</v>
      </c>
      <c r="G681" s="90">
        <f>G682</f>
        <v>0</v>
      </c>
      <c r="H681" s="90">
        <f>H682</f>
        <v>400</v>
      </c>
      <c r="I681" s="422">
        <f>I682</f>
        <v>399.9</v>
      </c>
      <c r="J681" s="203"/>
      <c r="K681" s="433">
        <f t="shared" si="62"/>
        <v>99.975</v>
      </c>
    </row>
    <row r="682" spans="1:11" ht="24">
      <c r="A682" s="87" t="s">
        <v>682</v>
      </c>
      <c r="B682" s="82" t="s">
        <v>1097</v>
      </c>
      <c r="C682" s="85" t="s">
        <v>1083</v>
      </c>
      <c r="D682" s="85" t="s">
        <v>141</v>
      </c>
      <c r="E682" s="85" t="s">
        <v>1665</v>
      </c>
      <c r="F682" s="85" t="s">
        <v>1637</v>
      </c>
      <c r="G682" s="90"/>
      <c r="H682" s="90">
        <v>400</v>
      </c>
      <c r="I682" s="422">
        <v>399.9</v>
      </c>
      <c r="J682" s="203"/>
      <c r="K682" s="433">
        <f t="shared" si="62"/>
        <v>99.975</v>
      </c>
    </row>
    <row r="683" spans="1:11" ht="24">
      <c r="A683" s="87" t="s">
        <v>673</v>
      </c>
      <c r="B683" s="82" t="s">
        <v>1097</v>
      </c>
      <c r="C683" s="85" t="s">
        <v>1083</v>
      </c>
      <c r="D683" s="85" t="s">
        <v>141</v>
      </c>
      <c r="E683" s="85" t="s">
        <v>1665</v>
      </c>
      <c r="F683" s="85" t="s">
        <v>801</v>
      </c>
      <c r="G683" s="90">
        <f>G684+G685+G686</f>
        <v>0</v>
      </c>
      <c r="H683" s="90">
        <f>H684+H685+H686</f>
        <v>1600</v>
      </c>
      <c r="I683" s="422">
        <f>I684+I685+I686</f>
        <v>1246.9</v>
      </c>
      <c r="J683" s="203"/>
      <c r="K683" s="433">
        <f t="shared" si="62"/>
        <v>77.93125</v>
      </c>
    </row>
    <row r="684" spans="1:11" ht="24">
      <c r="A684" s="87" t="s">
        <v>683</v>
      </c>
      <c r="B684" s="82" t="s">
        <v>1097</v>
      </c>
      <c r="C684" s="85" t="s">
        <v>1083</v>
      </c>
      <c r="D684" s="85" t="s">
        <v>141</v>
      </c>
      <c r="E684" s="85" t="s">
        <v>1665</v>
      </c>
      <c r="F684" s="85" t="s">
        <v>801</v>
      </c>
      <c r="G684" s="90"/>
      <c r="H684" s="90">
        <v>300</v>
      </c>
      <c r="I684" s="422"/>
      <c r="J684" s="203"/>
      <c r="K684" s="433">
        <f t="shared" si="62"/>
        <v>0</v>
      </c>
    </row>
    <row r="685" spans="1:11" ht="24">
      <c r="A685" s="87" t="s">
        <v>684</v>
      </c>
      <c r="B685" s="82" t="s">
        <v>1097</v>
      </c>
      <c r="C685" s="85" t="s">
        <v>1083</v>
      </c>
      <c r="D685" s="85" t="s">
        <v>141</v>
      </c>
      <c r="E685" s="85" t="s">
        <v>1665</v>
      </c>
      <c r="F685" s="85" t="s">
        <v>801</v>
      </c>
      <c r="G685" s="90"/>
      <c r="H685" s="90">
        <v>1000</v>
      </c>
      <c r="I685" s="422">
        <v>1000</v>
      </c>
      <c r="J685" s="203"/>
      <c r="K685" s="433">
        <f t="shared" si="62"/>
        <v>100</v>
      </c>
    </row>
    <row r="686" spans="1:11" ht="24">
      <c r="A686" s="87" t="s">
        <v>1265</v>
      </c>
      <c r="B686" s="82" t="s">
        <v>1097</v>
      </c>
      <c r="C686" s="85" t="s">
        <v>1083</v>
      </c>
      <c r="D686" s="85" t="s">
        <v>141</v>
      </c>
      <c r="E686" s="85" t="s">
        <v>1665</v>
      </c>
      <c r="F686" s="85" t="s">
        <v>801</v>
      </c>
      <c r="G686" s="90"/>
      <c r="H686" s="90">
        <v>300</v>
      </c>
      <c r="I686" s="422">
        <v>246.9</v>
      </c>
      <c r="J686" s="203"/>
      <c r="K686" s="433">
        <f t="shared" si="62"/>
        <v>82.30000000000001</v>
      </c>
    </row>
    <row r="687" spans="1:11" ht="24">
      <c r="A687" s="87" t="s">
        <v>909</v>
      </c>
      <c r="B687" s="82" t="s">
        <v>1097</v>
      </c>
      <c r="C687" s="85" t="s">
        <v>1083</v>
      </c>
      <c r="D687" s="85" t="s">
        <v>141</v>
      </c>
      <c r="E687" s="85" t="s">
        <v>910</v>
      </c>
      <c r="F687" s="85"/>
      <c r="G687" s="90">
        <f>G688</f>
        <v>0</v>
      </c>
      <c r="H687" s="90">
        <f>H688</f>
        <v>5074</v>
      </c>
      <c r="I687" s="422">
        <f>I688</f>
        <v>4995.4</v>
      </c>
      <c r="J687" s="203"/>
      <c r="K687" s="433">
        <f t="shared" si="62"/>
        <v>98.45092629089474</v>
      </c>
    </row>
    <row r="688" spans="1:11" ht="24">
      <c r="A688" s="87" t="s">
        <v>686</v>
      </c>
      <c r="B688" s="82" t="s">
        <v>1097</v>
      </c>
      <c r="C688" s="85" t="s">
        <v>1083</v>
      </c>
      <c r="D688" s="85" t="s">
        <v>141</v>
      </c>
      <c r="E688" s="85" t="s">
        <v>1371</v>
      </c>
      <c r="F688" s="85" t="s">
        <v>1071</v>
      </c>
      <c r="G688" s="90">
        <f>G689+G695</f>
        <v>0</v>
      </c>
      <c r="H688" s="90">
        <f>H689+H695</f>
        <v>5074</v>
      </c>
      <c r="I688" s="422">
        <f>I689+I695</f>
        <v>4995.4</v>
      </c>
      <c r="J688" s="203"/>
      <c r="K688" s="433">
        <f t="shared" si="62"/>
        <v>98.45092629089474</v>
      </c>
    </row>
    <row r="689" spans="1:11" ht="24">
      <c r="A689" s="87" t="s">
        <v>819</v>
      </c>
      <c r="B689" s="82" t="s">
        <v>1097</v>
      </c>
      <c r="C689" s="85" t="s">
        <v>1083</v>
      </c>
      <c r="D689" s="85" t="s">
        <v>141</v>
      </c>
      <c r="E689" s="85" t="s">
        <v>1371</v>
      </c>
      <c r="F689" s="85" t="s">
        <v>744</v>
      </c>
      <c r="G689" s="90">
        <f>G690+G691</f>
        <v>0</v>
      </c>
      <c r="H689" s="90">
        <f>H690+H691</f>
        <v>3674</v>
      </c>
      <c r="I689" s="422">
        <f>I690+I691</f>
        <v>3607.7</v>
      </c>
      <c r="J689" s="203"/>
      <c r="K689" s="433">
        <f t="shared" si="62"/>
        <v>98.19542732716386</v>
      </c>
    </row>
    <row r="690" spans="1:11" ht="24">
      <c r="A690" s="87" t="s">
        <v>745</v>
      </c>
      <c r="B690" s="82" t="s">
        <v>1097</v>
      </c>
      <c r="C690" s="85" t="s">
        <v>1083</v>
      </c>
      <c r="D690" s="85" t="s">
        <v>141</v>
      </c>
      <c r="E690" s="85" t="s">
        <v>1371</v>
      </c>
      <c r="F690" s="85" t="s">
        <v>746</v>
      </c>
      <c r="G690" s="90"/>
      <c r="H690" s="90">
        <f>1674-871.1-83.8</f>
        <v>719.1</v>
      </c>
      <c r="I690" s="422">
        <v>703.7</v>
      </c>
      <c r="J690" s="203"/>
      <c r="K690" s="433">
        <f t="shared" si="62"/>
        <v>97.85843415380336</v>
      </c>
    </row>
    <row r="691" spans="1:11" ht="24">
      <c r="A691" s="87" t="s">
        <v>299</v>
      </c>
      <c r="B691" s="82" t="s">
        <v>1097</v>
      </c>
      <c r="C691" s="85" t="s">
        <v>1083</v>
      </c>
      <c r="D691" s="85" t="s">
        <v>141</v>
      </c>
      <c r="E691" s="85" t="s">
        <v>1371</v>
      </c>
      <c r="F691" s="85" t="s">
        <v>1637</v>
      </c>
      <c r="G691" s="90">
        <f>G692+G693+G694</f>
        <v>0</v>
      </c>
      <c r="H691" s="90">
        <f>H692+H693+H694</f>
        <v>2954.9</v>
      </c>
      <c r="I691" s="422">
        <f>I692+I693+I694</f>
        <v>2904</v>
      </c>
      <c r="J691" s="203"/>
      <c r="K691" s="433">
        <f t="shared" si="62"/>
        <v>98.27743747673355</v>
      </c>
    </row>
    <row r="692" spans="1:11" ht="24">
      <c r="A692" s="87" t="s">
        <v>687</v>
      </c>
      <c r="B692" s="82" t="s">
        <v>1097</v>
      </c>
      <c r="C692" s="85" t="s">
        <v>1083</v>
      </c>
      <c r="D692" s="85" t="s">
        <v>141</v>
      </c>
      <c r="E692" s="85" t="s">
        <v>1371</v>
      </c>
      <c r="F692" s="85" t="s">
        <v>1637</v>
      </c>
      <c r="G692" s="90"/>
      <c r="H692" s="90">
        <v>2000</v>
      </c>
      <c r="I692" s="422">
        <v>1949.1</v>
      </c>
      <c r="J692" s="203"/>
      <c r="K692" s="433">
        <f t="shared" si="62"/>
        <v>97.455</v>
      </c>
    </row>
    <row r="693" spans="1:11" ht="36">
      <c r="A693" s="87" t="s">
        <v>1266</v>
      </c>
      <c r="B693" s="82" t="s">
        <v>1097</v>
      </c>
      <c r="C693" s="85" t="s">
        <v>1083</v>
      </c>
      <c r="D693" s="85" t="s">
        <v>141</v>
      </c>
      <c r="E693" s="85" t="s">
        <v>1371</v>
      </c>
      <c r="F693" s="85" t="s">
        <v>1637</v>
      </c>
      <c r="G693" s="90"/>
      <c r="H693" s="90">
        <v>871.1</v>
      </c>
      <c r="I693" s="422">
        <v>871.1</v>
      </c>
      <c r="J693" s="203"/>
      <c r="K693" s="433">
        <f t="shared" si="62"/>
        <v>100</v>
      </c>
    </row>
    <row r="694" spans="1:11" ht="24">
      <c r="A694" s="87" t="s">
        <v>689</v>
      </c>
      <c r="B694" s="82" t="s">
        <v>1097</v>
      </c>
      <c r="C694" s="85" t="s">
        <v>1083</v>
      </c>
      <c r="D694" s="85" t="s">
        <v>141</v>
      </c>
      <c r="E694" s="85" t="s">
        <v>1371</v>
      </c>
      <c r="F694" s="85" t="s">
        <v>1637</v>
      </c>
      <c r="G694" s="90"/>
      <c r="H694" s="90">
        <v>83.8</v>
      </c>
      <c r="I694" s="422">
        <v>83.8</v>
      </c>
      <c r="J694" s="203"/>
      <c r="K694" s="433">
        <f t="shared" si="62"/>
        <v>100</v>
      </c>
    </row>
    <row r="695" spans="1:11" ht="24">
      <c r="A695" s="87" t="s">
        <v>302</v>
      </c>
      <c r="B695" s="82" t="s">
        <v>1097</v>
      </c>
      <c r="C695" s="85" t="s">
        <v>1083</v>
      </c>
      <c r="D695" s="85" t="s">
        <v>141</v>
      </c>
      <c r="E695" s="85" t="s">
        <v>1371</v>
      </c>
      <c r="F695" s="85" t="s">
        <v>296</v>
      </c>
      <c r="G695" s="90">
        <f>G696+G697</f>
        <v>0</v>
      </c>
      <c r="H695" s="90">
        <f>H696+H697</f>
        <v>1400</v>
      </c>
      <c r="I695" s="422">
        <f>I696+I697</f>
        <v>1387.7</v>
      </c>
      <c r="J695" s="203"/>
      <c r="K695" s="433">
        <f t="shared" si="62"/>
        <v>99.12142857142857</v>
      </c>
    </row>
    <row r="696" spans="1:11" ht="24" hidden="1">
      <c r="A696" s="87" t="s">
        <v>303</v>
      </c>
      <c r="B696" s="82" t="s">
        <v>1097</v>
      </c>
      <c r="C696" s="85" t="s">
        <v>1083</v>
      </c>
      <c r="D696" s="85" t="s">
        <v>141</v>
      </c>
      <c r="E696" s="85" t="s">
        <v>1371</v>
      </c>
      <c r="F696" s="85" t="s">
        <v>304</v>
      </c>
      <c r="G696" s="90"/>
      <c r="H696" s="90"/>
      <c r="I696" s="422"/>
      <c r="J696" s="203"/>
      <c r="K696" s="433" t="e">
        <f t="shared" si="62"/>
        <v>#DIV/0!</v>
      </c>
    </row>
    <row r="697" spans="1:11" ht="24">
      <c r="A697" s="87" t="s">
        <v>673</v>
      </c>
      <c r="B697" s="82" t="s">
        <v>1097</v>
      </c>
      <c r="C697" s="85" t="s">
        <v>1083</v>
      </c>
      <c r="D697" s="85" t="s">
        <v>141</v>
      </c>
      <c r="E697" s="85" t="s">
        <v>1371</v>
      </c>
      <c r="F697" s="85" t="s">
        <v>801</v>
      </c>
      <c r="G697" s="90">
        <f>G698</f>
        <v>0</v>
      </c>
      <c r="H697" s="90">
        <f>H698</f>
        <v>1400</v>
      </c>
      <c r="I697" s="422">
        <f>I698</f>
        <v>1387.7</v>
      </c>
      <c r="J697" s="203"/>
      <c r="K697" s="433">
        <f t="shared" si="62"/>
        <v>99.12142857142857</v>
      </c>
    </row>
    <row r="698" spans="1:11" ht="24">
      <c r="A698" s="87" t="s">
        <v>1267</v>
      </c>
      <c r="B698" s="82" t="s">
        <v>1097</v>
      </c>
      <c r="C698" s="85" t="s">
        <v>1083</v>
      </c>
      <c r="D698" s="85" t="s">
        <v>141</v>
      </c>
      <c r="E698" s="85" t="s">
        <v>1371</v>
      </c>
      <c r="F698" s="85" t="s">
        <v>801</v>
      </c>
      <c r="G698" s="90"/>
      <c r="H698" s="90">
        <v>1400</v>
      </c>
      <c r="I698" s="422">
        <v>1387.7</v>
      </c>
      <c r="J698" s="203"/>
      <c r="K698" s="433">
        <f t="shared" si="62"/>
        <v>99.12142857142857</v>
      </c>
    </row>
    <row r="699" spans="1:11" ht="15.75">
      <c r="A699" s="79" t="s">
        <v>1883</v>
      </c>
      <c r="B699" s="80" t="s">
        <v>892</v>
      </c>
      <c r="C699" s="80"/>
      <c r="D699" s="80"/>
      <c r="E699" s="80"/>
      <c r="F699" s="80"/>
      <c r="G699" s="81">
        <f>G700+G806+G812+G856+G934+G1036+G1042+G1046+G1068+G1063+G1213+G1222+G1235+G1240</f>
        <v>1255543.5</v>
      </c>
      <c r="H699" s="81">
        <f>H700+H806+H812+H856+H934+H1036+H1042+H1046+H1068+H1063+H1213+H1222+H1235+H1240</f>
        <v>1653692.522</v>
      </c>
      <c r="I699" s="430">
        <f>I700+I806+I812+I856+I934+I1036+I1042+I1046+I1068+I1063+I1213+I1222+I1235+I1240</f>
        <v>1524503</v>
      </c>
      <c r="J699" s="419">
        <f>I699/G699*100</f>
        <v>121.42175878414407</v>
      </c>
      <c r="K699" s="434">
        <f>I699/H699*100</f>
        <v>92.18781482764665</v>
      </c>
    </row>
    <row r="700" spans="1:11" ht="15">
      <c r="A700" s="371" t="s">
        <v>140</v>
      </c>
      <c r="B700" s="82" t="s">
        <v>892</v>
      </c>
      <c r="C700" s="85" t="s">
        <v>141</v>
      </c>
      <c r="D700" s="85"/>
      <c r="E700" s="85"/>
      <c r="F700" s="85"/>
      <c r="G700" s="90">
        <f>G701+G726+G729+G733+G741+G745+G749+G755+G738</f>
        <v>497211.5</v>
      </c>
      <c r="H700" s="90">
        <f>H701+H726+H729+H733+H741+H745+H749+H755+H738</f>
        <v>742343.4</v>
      </c>
      <c r="I700" s="422">
        <f>I701+I726+I729+I733+I741+I745+I749+I755+I738</f>
        <v>708400.9999999999</v>
      </c>
      <c r="J700" s="203">
        <f aca="true" t="shared" si="68" ref="J700:J760">I700/G700*100</f>
        <v>142.47478185842442</v>
      </c>
      <c r="K700" s="433">
        <f aca="true" t="shared" si="69" ref="K700:K763">I700/H700*100</f>
        <v>95.4276686503847</v>
      </c>
    </row>
    <row r="701" spans="1:11" ht="36">
      <c r="A701" s="91" t="s">
        <v>1602</v>
      </c>
      <c r="B701" s="82" t="s">
        <v>892</v>
      </c>
      <c r="C701" s="85" t="s">
        <v>141</v>
      </c>
      <c r="D701" s="85" t="s">
        <v>1603</v>
      </c>
      <c r="E701" s="85"/>
      <c r="F701" s="85"/>
      <c r="G701" s="90">
        <f>G702+G723</f>
        <v>267288.2</v>
      </c>
      <c r="H701" s="90">
        <f>H702+H723</f>
        <v>264855.30000000005</v>
      </c>
      <c r="I701" s="422">
        <f>I702+I723</f>
        <v>243466.69999999995</v>
      </c>
      <c r="J701" s="203">
        <f t="shared" si="68"/>
        <v>91.08770982033623</v>
      </c>
      <c r="K701" s="433">
        <f t="shared" si="69"/>
        <v>91.92442061759758</v>
      </c>
    </row>
    <row r="702" spans="1:11" ht="24">
      <c r="A702" s="93" t="s">
        <v>1604</v>
      </c>
      <c r="B702" s="82" t="s">
        <v>892</v>
      </c>
      <c r="C702" s="85" t="s">
        <v>141</v>
      </c>
      <c r="D702" s="85" t="s">
        <v>1603</v>
      </c>
      <c r="E702" s="85" t="s">
        <v>144</v>
      </c>
      <c r="F702" s="85"/>
      <c r="G702" s="90">
        <f>G703+G714+G717+G720</f>
        <v>264640.2</v>
      </c>
      <c r="H702" s="90">
        <f>H703+H714+H717+H720</f>
        <v>259872.60000000003</v>
      </c>
      <c r="I702" s="422">
        <f>I703+I714+I717+I720</f>
        <v>238569.89999999997</v>
      </c>
      <c r="J702" s="203">
        <f t="shared" si="68"/>
        <v>90.14877558284795</v>
      </c>
      <c r="K702" s="433">
        <f t="shared" si="69"/>
        <v>91.80263713835161</v>
      </c>
    </row>
    <row r="703" spans="1:11" ht="24">
      <c r="A703" s="87" t="s">
        <v>1599</v>
      </c>
      <c r="B703" s="82" t="s">
        <v>892</v>
      </c>
      <c r="C703" s="85" t="s">
        <v>141</v>
      </c>
      <c r="D703" s="85" t="s">
        <v>1603</v>
      </c>
      <c r="E703" s="85" t="s">
        <v>1884</v>
      </c>
      <c r="F703" s="85" t="s">
        <v>1071</v>
      </c>
      <c r="G703" s="90">
        <f>G708+G709+G710+G711+G712+G713</f>
        <v>264640.2</v>
      </c>
      <c r="H703" s="90">
        <f>H708+H709+H710+H711+H712+H713</f>
        <v>244751.60000000003</v>
      </c>
      <c r="I703" s="422">
        <f>I708+I709+I710+I711+I712+I713</f>
        <v>224325.09999999998</v>
      </c>
      <c r="J703" s="203">
        <f t="shared" si="68"/>
        <v>84.76607106554484</v>
      </c>
      <c r="K703" s="433">
        <f t="shared" si="69"/>
        <v>91.65419143327355</v>
      </c>
    </row>
    <row r="704" spans="1:11" ht="15.75" hidden="1">
      <c r="A704" s="87" t="s">
        <v>171</v>
      </c>
      <c r="B704" s="82" t="s">
        <v>892</v>
      </c>
      <c r="C704" s="85" t="s">
        <v>141</v>
      </c>
      <c r="D704" s="85" t="s">
        <v>1603</v>
      </c>
      <c r="E704" s="85" t="s">
        <v>1601</v>
      </c>
      <c r="F704" s="85" t="s">
        <v>1268</v>
      </c>
      <c r="G704" s="90">
        <v>0</v>
      </c>
      <c r="H704" s="90">
        <v>0</v>
      </c>
      <c r="I704" s="422">
        <v>1</v>
      </c>
      <c r="J704" s="203" t="e">
        <f t="shared" si="68"/>
        <v>#DIV/0!</v>
      </c>
      <c r="K704" s="433" t="e">
        <f t="shared" si="69"/>
        <v>#DIV/0!</v>
      </c>
    </row>
    <row r="705" spans="1:11" ht="22.5" customHeight="1" hidden="1">
      <c r="A705" s="106" t="s">
        <v>1531</v>
      </c>
      <c r="B705" s="82" t="s">
        <v>892</v>
      </c>
      <c r="C705" s="85" t="s">
        <v>141</v>
      </c>
      <c r="D705" s="85" t="s">
        <v>584</v>
      </c>
      <c r="E705" s="85"/>
      <c r="F705" s="85"/>
      <c r="G705" s="90">
        <f>G706</f>
        <v>0</v>
      </c>
      <c r="H705" s="90">
        <f>H706</f>
        <v>0</v>
      </c>
      <c r="I705" s="422">
        <f>I706</f>
        <v>0</v>
      </c>
      <c r="J705" s="203" t="e">
        <f t="shared" si="68"/>
        <v>#DIV/0!</v>
      </c>
      <c r="K705" s="433" t="e">
        <f t="shared" si="69"/>
        <v>#DIV/0!</v>
      </c>
    </row>
    <row r="706" spans="1:11" ht="15.75" hidden="1">
      <c r="A706" s="86" t="s">
        <v>585</v>
      </c>
      <c r="B706" s="82" t="s">
        <v>892</v>
      </c>
      <c r="C706" s="85" t="s">
        <v>141</v>
      </c>
      <c r="D706" s="85" t="s">
        <v>584</v>
      </c>
      <c r="E706" s="85" t="s">
        <v>586</v>
      </c>
      <c r="F706" s="85"/>
      <c r="G706" s="90">
        <v>0</v>
      </c>
      <c r="H706" s="90">
        <v>0</v>
      </c>
      <c r="I706" s="422">
        <v>0</v>
      </c>
      <c r="J706" s="203" t="e">
        <f t="shared" si="68"/>
        <v>#DIV/0!</v>
      </c>
      <c r="K706" s="433" t="e">
        <f t="shared" si="69"/>
        <v>#DIV/0!</v>
      </c>
    </row>
    <row r="707" spans="1:11" ht="24" hidden="1">
      <c r="A707" s="87" t="s">
        <v>587</v>
      </c>
      <c r="B707" s="82" t="s">
        <v>892</v>
      </c>
      <c r="C707" s="85" t="s">
        <v>141</v>
      </c>
      <c r="D707" s="85" t="s">
        <v>584</v>
      </c>
      <c r="E707" s="85" t="s">
        <v>586</v>
      </c>
      <c r="F707" s="85" t="s">
        <v>588</v>
      </c>
      <c r="G707" s="90">
        <v>0</v>
      </c>
      <c r="H707" s="90">
        <v>0</v>
      </c>
      <c r="I707" s="422">
        <v>0</v>
      </c>
      <c r="J707" s="203" t="e">
        <f t="shared" si="68"/>
        <v>#DIV/0!</v>
      </c>
      <c r="K707" s="433" t="e">
        <f t="shared" si="69"/>
        <v>#DIV/0!</v>
      </c>
    </row>
    <row r="708" spans="1:11" ht="24">
      <c r="A708" s="348" t="s">
        <v>1832</v>
      </c>
      <c r="B708" s="82" t="s">
        <v>892</v>
      </c>
      <c r="C708" s="85" t="s">
        <v>141</v>
      </c>
      <c r="D708" s="85" t="s">
        <v>1603</v>
      </c>
      <c r="E708" s="85" t="s">
        <v>1884</v>
      </c>
      <c r="F708" s="85" t="s">
        <v>1833</v>
      </c>
      <c r="G708" s="90"/>
      <c r="H708" s="90">
        <v>209191.2</v>
      </c>
      <c r="I708" s="422">
        <v>192267.6</v>
      </c>
      <c r="J708" s="203"/>
      <c r="K708" s="433">
        <f t="shared" si="69"/>
        <v>91.90998474123194</v>
      </c>
    </row>
    <row r="709" spans="1:11" ht="24">
      <c r="A709" s="87" t="s">
        <v>1843</v>
      </c>
      <c r="B709" s="82" t="s">
        <v>892</v>
      </c>
      <c r="C709" s="85" t="s">
        <v>141</v>
      </c>
      <c r="D709" s="85" t="s">
        <v>1603</v>
      </c>
      <c r="E709" s="85" t="s">
        <v>1884</v>
      </c>
      <c r="F709" s="85" t="s">
        <v>1835</v>
      </c>
      <c r="G709" s="90"/>
      <c r="H709" s="90">
        <v>50</v>
      </c>
      <c r="I709" s="422">
        <v>12.3</v>
      </c>
      <c r="J709" s="203"/>
      <c r="K709" s="433">
        <f t="shared" si="69"/>
        <v>24.6</v>
      </c>
    </row>
    <row r="710" spans="1:11" ht="24">
      <c r="A710" s="87" t="s">
        <v>1729</v>
      </c>
      <c r="B710" s="82" t="s">
        <v>892</v>
      </c>
      <c r="C710" s="85" t="s">
        <v>141</v>
      </c>
      <c r="D710" s="85" t="s">
        <v>1603</v>
      </c>
      <c r="E710" s="85" t="s">
        <v>1884</v>
      </c>
      <c r="F710" s="85" t="s">
        <v>1837</v>
      </c>
      <c r="G710" s="90"/>
      <c r="H710" s="90">
        <f>33666.3-70+390+412.9+552+200</f>
        <v>35151.200000000004</v>
      </c>
      <c r="I710" s="422">
        <v>31693.8</v>
      </c>
      <c r="J710" s="203"/>
      <c r="K710" s="433">
        <f t="shared" si="69"/>
        <v>90.16420492045789</v>
      </c>
    </row>
    <row r="711" spans="1:11" ht="24">
      <c r="A711" s="87" t="s">
        <v>171</v>
      </c>
      <c r="B711" s="82" t="s">
        <v>892</v>
      </c>
      <c r="C711" s="85" t="s">
        <v>141</v>
      </c>
      <c r="D711" s="85" t="s">
        <v>1603</v>
      </c>
      <c r="E711" s="85" t="s">
        <v>1884</v>
      </c>
      <c r="F711" s="85" t="s">
        <v>436</v>
      </c>
      <c r="G711" s="90">
        <v>264640.2</v>
      </c>
      <c r="H711" s="90"/>
      <c r="I711" s="422"/>
      <c r="J711" s="203"/>
      <c r="K711" s="433"/>
    </row>
    <row r="712" spans="1:11" ht="60">
      <c r="A712" s="348" t="s">
        <v>1844</v>
      </c>
      <c r="B712" s="82" t="s">
        <v>892</v>
      </c>
      <c r="C712" s="85" t="s">
        <v>141</v>
      </c>
      <c r="D712" s="85" t="s">
        <v>1603</v>
      </c>
      <c r="E712" s="85" t="s">
        <v>1884</v>
      </c>
      <c r="F712" s="85" t="s">
        <v>1845</v>
      </c>
      <c r="G712" s="90"/>
      <c r="H712" s="90">
        <f>230.6+120</f>
        <v>350.6</v>
      </c>
      <c r="I712" s="422">
        <v>350.6</v>
      </c>
      <c r="J712" s="203"/>
      <c r="K712" s="433">
        <f t="shared" si="69"/>
        <v>100</v>
      </c>
    </row>
    <row r="713" spans="1:11" ht="24">
      <c r="A713" s="87" t="s">
        <v>1838</v>
      </c>
      <c r="B713" s="82" t="s">
        <v>892</v>
      </c>
      <c r="C713" s="85" t="s">
        <v>141</v>
      </c>
      <c r="D713" s="85" t="s">
        <v>1603</v>
      </c>
      <c r="E713" s="85" t="s">
        <v>1884</v>
      </c>
      <c r="F713" s="85" t="s">
        <v>1839</v>
      </c>
      <c r="G713" s="90"/>
      <c r="H713" s="90">
        <f>128.6-120</f>
        <v>8.599999999999994</v>
      </c>
      <c r="I713" s="422">
        <v>0.8</v>
      </c>
      <c r="J713" s="203"/>
      <c r="K713" s="433">
        <f t="shared" si="69"/>
        <v>9.302325581395356</v>
      </c>
    </row>
    <row r="714" spans="1:11" ht="60">
      <c r="A714" s="87" t="s">
        <v>85</v>
      </c>
      <c r="B714" s="82" t="s">
        <v>892</v>
      </c>
      <c r="C714" s="85" t="s">
        <v>141</v>
      </c>
      <c r="D714" s="85" t="s">
        <v>1603</v>
      </c>
      <c r="E714" s="85" t="s">
        <v>86</v>
      </c>
      <c r="F714" s="85" t="s">
        <v>1071</v>
      </c>
      <c r="G714" s="90">
        <f>G715+G716</f>
        <v>0</v>
      </c>
      <c r="H714" s="90">
        <f>H715+H716</f>
        <v>7564</v>
      </c>
      <c r="I714" s="422">
        <f>I715+I716</f>
        <v>6923.900000000001</v>
      </c>
      <c r="J714" s="203"/>
      <c r="K714" s="433">
        <f t="shared" si="69"/>
        <v>91.53754627181387</v>
      </c>
    </row>
    <row r="715" spans="1:11" ht="24">
      <c r="A715" s="87" t="s">
        <v>87</v>
      </c>
      <c r="B715" s="82" t="s">
        <v>892</v>
      </c>
      <c r="C715" s="85" t="s">
        <v>141</v>
      </c>
      <c r="D715" s="85" t="s">
        <v>1603</v>
      </c>
      <c r="E715" s="85" t="s">
        <v>86</v>
      </c>
      <c r="F715" s="85" t="s">
        <v>88</v>
      </c>
      <c r="G715" s="90"/>
      <c r="H715" s="90">
        <v>5583.5</v>
      </c>
      <c r="I715" s="422">
        <v>5287.6</v>
      </c>
      <c r="J715" s="203"/>
      <c r="K715" s="433">
        <f t="shared" si="69"/>
        <v>94.70045670278499</v>
      </c>
    </row>
    <row r="716" spans="1:11" ht="24">
      <c r="A716" s="348" t="s">
        <v>89</v>
      </c>
      <c r="B716" s="82" t="s">
        <v>892</v>
      </c>
      <c r="C716" s="85" t="s">
        <v>141</v>
      </c>
      <c r="D716" s="85" t="s">
        <v>1603</v>
      </c>
      <c r="E716" s="85" t="s">
        <v>86</v>
      </c>
      <c r="F716" s="85" t="s">
        <v>90</v>
      </c>
      <c r="G716" s="90"/>
      <c r="H716" s="90">
        <v>1980.5</v>
      </c>
      <c r="I716" s="422">
        <v>1636.3</v>
      </c>
      <c r="J716" s="203"/>
      <c r="K716" s="433">
        <f t="shared" si="69"/>
        <v>82.62055036606917</v>
      </c>
    </row>
    <row r="717" spans="1:11" ht="36">
      <c r="A717" s="348" t="s">
        <v>91</v>
      </c>
      <c r="B717" s="82" t="s">
        <v>892</v>
      </c>
      <c r="C717" s="85" t="s">
        <v>141</v>
      </c>
      <c r="D717" s="85" t="s">
        <v>1603</v>
      </c>
      <c r="E717" s="85" t="s">
        <v>92</v>
      </c>
      <c r="F717" s="85" t="s">
        <v>1071</v>
      </c>
      <c r="G717" s="90">
        <f>G718+G719</f>
        <v>0</v>
      </c>
      <c r="H717" s="90">
        <f>H718+H719</f>
        <v>3757</v>
      </c>
      <c r="I717" s="422">
        <f>I718+I719</f>
        <v>3586.4</v>
      </c>
      <c r="J717" s="203"/>
      <c r="K717" s="433">
        <f t="shared" si="69"/>
        <v>95.45914293319137</v>
      </c>
    </row>
    <row r="718" spans="1:11" ht="24">
      <c r="A718" s="87" t="s">
        <v>87</v>
      </c>
      <c r="B718" s="82" t="s">
        <v>892</v>
      </c>
      <c r="C718" s="85" t="s">
        <v>141</v>
      </c>
      <c r="D718" s="85" t="s">
        <v>1603</v>
      </c>
      <c r="E718" s="85" t="s">
        <v>92</v>
      </c>
      <c r="F718" s="85" t="s">
        <v>1269</v>
      </c>
      <c r="G718" s="90"/>
      <c r="H718" s="90">
        <v>3383</v>
      </c>
      <c r="I718" s="422">
        <v>3212.4</v>
      </c>
      <c r="J718" s="203"/>
      <c r="K718" s="433">
        <f t="shared" si="69"/>
        <v>94.95713863434821</v>
      </c>
    </row>
    <row r="719" spans="1:11" ht="24">
      <c r="A719" s="348" t="s">
        <v>89</v>
      </c>
      <c r="B719" s="82" t="s">
        <v>892</v>
      </c>
      <c r="C719" s="85" t="s">
        <v>141</v>
      </c>
      <c r="D719" s="85" t="s">
        <v>1603</v>
      </c>
      <c r="E719" s="85" t="s">
        <v>92</v>
      </c>
      <c r="F719" s="85" t="s">
        <v>90</v>
      </c>
      <c r="G719" s="90"/>
      <c r="H719" s="90">
        <v>374</v>
      </c>
      <c r="I719" s="422">
        <v>374</v>
      </c>
      <c r="J719" s="203"/>
      <c r="K719" s="433">
        <f t="shared" si="69"/>
        <v>100</v>
      </c>
    </row>
    <row r="720" spans="1:11" ht="60">
      <c r="A720" s="348" t="s">
        <v>1270</v>
      </c>
      <c r="B720" s="82" t="s">
        <v>892</v>
      </c>
      <c r="C720" s="85" t="s">
        <v>141</v>
      </c>
      <c r="D720" s="85" t="s">
        <v>1603</v>
      </c>
      <c r="E720" s="85" t="s">
        <v>94</v>
      </c>
      <c r="F720" s="85" t="s">
        <v>1071</v>
      </c>
      <c r="G720" s="90">
        <f>G721+G722</f>
        <v>0</v>
      </c>
      <c r="H720" s="90">
        <f>H721+H722</f>
        <v>3800</v>
      </c>
      <c r="I720" s="422">
        <f>I721+I722</f>
        <v>3734.5</v>
      </c>
      <c r="J720" s="203"/>
      <c r="K720" s="433">
        <f t="shared" si="69"/>
        <v>98.27631578947368</v>
      </c>
    </row>
    <row r="721" spans="1:11" ht="24">
      <c r="A721" s="87" t="s">
        <v>87</v>
      </c>
      <c r="B721" s="82" t="s">
        <v>892</v>
      </c>
      <c r="C721" s="85" t="s">
        <v>141</v>
      </c>
      <c r="D721" s="85" t="s">
        <v>1603</v>
      </c>
      <c r="E721" s="85" t="s">
        <v>94</v>
      </c>
      <c r="F721" s="85" t="s">
        <v>88</v>
      </c>
      <c r="G721" s="90"/>
      <c r="H721" s="90">
        <v>3075.3</v>
      </c>
      <c r="I721" s="422">
        <v>3009.8</v>
      </c>
      <c r="J721" s="203"/>
      <c r="K721" s="433">
        <f t="shared" si="69"/>
        <v>97.87012649172439</v>
      </c>
    </row>
    <row r="722" spans="1:11" ht="24">
      <c r="A722" s="348" t="s">
        <v>89</v>
      </c>
      <c r="B722" s="82" t="s">
        <v>892</v>
      </c>
      <c r="C722" s="85" t="s">
        <v>141</v>
      </c>
      <c r="D722" s="85" t="s">
        <v>1603</v>
      </c>
      <c r="E722" s="85" t="s">
        <v>94</v>
      </c>
      <c r="F722" s="85" t="s">
        <v>90</v>
      </c>
      <c r="G722" s="90"/>
      <c r="H722" s="90">
        <v>724.7</v>
      </c>
      <c r="I722" s="422">
        <v>724.7</v>
      </c>
      <c r="J722" s="203"/>
      <c r="K722" s="433">
        <f t="shared" si="69"/>
        <v>100</v>
      </c>
    </row>
    <row r="723" spans="1:11" ht="24">
      <c r="A723" s="349" t="s">
        <v>1840</v>
      </c>
      <c r="B723" s="82" t="s">
        <v>892</v>
      </c>
      <c r="C723" s="85" t="s">
        <v>141</v>
      </c>
      <c r="D723" s="85" t="s">
        <v>1603</v>
      </c>
      <c r="E723" s="85" t="s">
        <v>1841</v>
      </c>
      <c r="F723" s="85" t="s">
        <v>1071</v>
      </c>
      <c r="G723" s="90">
        <f>G724+G725</f>
        <v>2648</v>
      </c>
      <c r="H723" s="90">
        <f>H724+H725</f>
        <v>4982.7</v>
      </c>
      <c r="I723" s="422">
        <f>I724+I725</f>
        <v>4896.8</v>
      </c>
      <c r="J723" s="203">
        <f t="shared" si="68"/>
        <v>184.92447129909365</v>
      </c>
      <c r="K723" s="433">
        <f t="shared" si="69"/>
        <v>98.27603508138158</v>
      </c>
    </row>
    <row r="724" spans="1:11" ht="24">
      <c r="A724" s="87" t="s">
        <v>171</v>
      </c>
      <c r="B724" s="82" t="s">
        <v>892</v>
      </c>
      <c r="C724" s="85" t="s">
        <v>141</v>
      </c>
      <c r="D724" s="85" t="s">
        <v>1603</v>
      </c>
      <c r="E724" s="85" t="s">
        <v>1841</v>
      </c>
      <c r="F724" s="85" t="s">
        <v>436</v>
      </c>
      <c r="G724" s="90">
        <v>2648</v>
      </c>
      <c r="H724" s="90"/>
      <c r="I724" s="422"/>
      <c r="J724" s="203">
        <f t="shared" si="68"/>
        <v>0</v>
      </c>
      <c r="K724" s="433"/>
    </row>
    <row r="725" spans="1:11" ht="24">
      <c r="A725" s="349" t="s">
        <v>1840</v>
      </c>
      <c r="B725" s="82" t="s">
        <v>892</v>
      </c>
      <c r="C725" s="85" t="s">
        <v>141</v>
      </c>
      <c r="D725" s="85" t="s">
        <v>1603</v>
      </c>
      <c r="E725" s="85" t="s">
        <v>1841</v>
      </c>
      <c r="F725" s="85" t="s">
        <v>1842</v>
      </c>
      <c r="G725" s="90"/>
      <c r="H725" s="90">
        <v>4982.7</v>
      </c>
      <c r="I725" s="422">
        <v>4896.8</v>
      </c>
      <c r="J725" s="203"/>
      <c r="K725" s="433">
        <f t="shared" si="69"/>
        <v>98.27603508138158</v>
      </c>
    </row>
    <row r="726" spans="1:11" ht="39.75" customHeight="1" hidden="1">
      <c r="A726" s="91" t="s">
        <v>1527</v>
      </c>
      <c r="B726" s="82" t="s">
        <v>892</v>
      </c>
      <c r="C726" s="85" t="s">
        <v>141</v>
      </c>
      <c r="D726" s="85" t="s">
        <v>172</v>
      </c>
      <c r="E726" s="85"/>
      <c r="F726" s="85"/>
      <c r="G726" s="90">
        <f aca="true" t="shared" si="70" ref="G726:I727">G727</f>
        <v>0</v>
      </c>
      <c r="H726" s="90">
        <f t="shared" si="70"/>
        <v>0</v>
      </c>
      <c r="I726" s="422">
        <f t="shared" si="70"/>
        <v>0</v>
      </c>
      <c r="J726" s="203"/>
      <c r="K726" s="433" t="e">
        <f t="shared" si="69"/>
        <v>#DIV/0!</v>
      </c>
    </row>
    <row r="727" spans="1:11" ht="36" hidden="1">
      <c r="A727" s="93" t="s">
        <v>173</v>
      </c>
      <c r="B727" s="82" t="s">
        <v>892</v>
      </c>
      <c r="C727" s="85" t="s">
        <v>141</v>
      </c>
      <c r="D727" s="85" t="s">
        <v>172</v>
      </c>
      <c r="E727" s="85" t="s">
        <v>174</v>
      </c>
      <c r="F727" s="85"/>
      <c r="G727" s="90">
        <f t="shared" si="70"/>
        <v>0</v>
      </c>
      <c r="H727" s="90">
        <f t="shared" si="70"/>
        <v>0</v>
      </c>
      <c r="I727" s="422">
        <f t="shared" si="70"/>
        <v>0</v>
      </c>
      <c r="J727" s="203"/>
      <c r="K727" s="433" t="e">
        <f t="shared" si="69"/>
        <v>#DIV/0!</v>
      </c>
    </row>
    <row r="728" spans="1:11" ht="12.75" customHeight="1" hidden="1">
      <c r="A728" s="87" t="s">
        <v>171</v>
      </c>
      <c r="B728" s="82" t="s">
        <v>892</v>
      </c>
      <c r="C728" s="85" t="s">
        <v>141</v>
      </c>
      <c r="D728" s="85" t="s">
        <v>172</v>
      </c>
      <c r="E728" s="85" t="s">
        <v>174</v>
      </c>
      <c r="F728" s="85" t="s">
        <v>436</v>
      </c>
      <c r="G728" s="90"/>
      <c r="H728" s="90"/>
      <c r="I728" s="422"/>
      <c r="J728" s="203"/>
      <c r="K728" s="433" t="e">
        <f t="shared" si="69"/>
        <v>#DIV/0!</v>
      </c>
    </row>
    <row r="729" spans="1:11" ht="15">
      <c r="A729" s="106" t="s">
        <v>1527</v>
      </c>
      <c r="B729" s="82" t="s">
        <v>892</v>
      </c>
      <c r="C729" s="85" t="s">
        <v>141</v>
      </c>
      <c r="D729" s="85" t="s">
        <v>172</v>
      </c>
      <c r="E729" s="85"/>
      <c r="F729" s="85"/>
      <c r="G729" s="90">
        <f>G730</f>
        <v>0</v>
      </c>
      <c r="H729" s="90">
        <f>H730</f>
        <v>270.6</v>
      </c>
      <c r="I729" s="422">
        <f>I730</f>
        <v>270.6</v>
      </c>
      <c r="J729" s="203"/>
      <c r="K729" s="433">
        <f t="shared" si="69"/>
        <v>100</v>
      </c>
    </row>
    <row r="730" spans="1:11" ht="36">
      <c r="A730" s="87" t="s">
        <v>173</v>
      </c>
      <c r="B730" s="82" t="s">
        <v>892</v>
      </c>
      <c r="C730" s="85" t="s">
        <v>141</v>
      </c>
      <c r="D730" s="85" t="s">
        <v>172</v>
      </c>
      <c r="E730" s="85" t="s">
        <v>174</v>
      </c>
      <c r="F730" s="85" t="s">
        <v>1071</v>
      </c>
      <c r="G730" s="90">
        <f>G731+G732</f>
        <v>0</v>
      </c>
      <c r="H730" s="90">
        <f>H731+H732</f>
        <v>270.6</v>
      </c>
      <c r="I730" s="422">
        <f>I731+I732</f>
        <v>270.6</v>
      </c>
      <c r="J730" s="203"/>
      <c r="K730" s="433">
        <f t="shared" si="69"/>
        <v>100</v>
      </c>
    </row>
    <row r="731" spans="1:11" ht="24">
      <c r="A731" s="87" t="s">
        <v>87</v>
      </c>
      <c r="B731" s="82" t="s">
        <v>892</v>
      </c>
      <c r="C731" s="85" t="s">
        <v>141</v>
      </c>
      <c r="D731" s="85" t="s">
        <v>172</v>
      </c>
      <c r="E731" s="85" t="s">
        <v>174</v>
      </c>
      <c r="F731" s="85" t="s">
        <v>88</v>
      </c>
      <c r="G731" s="90"/>
      <c r="H731" s="90">
        <v>237</v>
      </c>
      <c r="I731" s="422">
        <v>237</v>
      </c>
      <c r="J731" s="203"/>
      <c r="K731" s="433">
        <f t="shared" si="69"/>
        <v>100</v>
      </c>
    </row>
    <row r="732" spans="1:11" ht="24">
      <c r="A732" s="87" t="s">
        <v>1836</v>
      </c>
      <c r="B732" s="82" t="s">
        <v>892</v>
      </c>
      <c r="C732" s="85" t="s">
        <v>141</v>
      </c>
      <c r="D732" s="85" t="s">
        <v>172</v>
      </c>
      <c r="E732" s="85" t="s">
        <v>174</v>
      </c>
      <c r="F732" s="85" t="s">
        <v>1837</v>
      </c>
      <c r="G732" s="90"/>
      <c r="H732" s="90">
        <v>33.6</v>
      </c>
      <c r="I732" s="422">
        <v>33.6</v>
      </c>
      <c r="J732" s="203"/>
      <c r="K732" s="433">
        <f t="shared" si="69"/>
        <v>100</v>
      </c>
    </row>
    <row r="733" spans="1:11" ht="15">
      <c r="A733" s="106" t="s">
        <v>1531</v>
      </c>
      <c r="B733" s="82" t="s">
        <v>892</v>
      </c>
      <c r="C733" s="85" t="s">
        <v>141</v>
      </c>
      <c r="D733" s="85" t="s">
        <v>584</v>
      </c>
      <c r="E733" s="85"/>
      <c r="F733" s="85"/>
      <c r="G733" s="90">
        <f>G734</f>
        <v>3019</v>
      </c>
      <c r="H733" s="90">
        <f>H734</f>
        <v>3189</v>
      </c>
      <c r="I733" s="422">
        <f>I734</f>
        <v>3118.3</v>
      </c>
      <c r="J733" s="203">
        <f t="shared" si="68"/>
        <v>103.2891685988738</v>
      </c>
      <c r="K733" s="433">
        <f t="shared" si="69"/>
        <v>97.78300407651301</v>
      </c>
    </row>
    <row r="734" spans="1:11" ht="24">
      <c r="A734" s="87" t="s">
        <v>95</v>
      </c>
      <c r="B734" s="82" t="s">
        <v>892</v>
      </c>
      <c r="C734" s="85" t="s">
        <v>141</v>
      </c>
      <c r="D734" s="85" t="s">
        <v>584</v>
      </c>
      <c r="E734" s="85" t="s">
        <v>96</v>
      </c>
      <c r="F734" s="85" t="s">
        <v>1071</v>
      </c>
      <c r="G734" s="90">
        <f>G735+G736</f>
        <v>3019</v>
      </c>
      <c r="H734" s="90">
        <f>H735+H736</f>
        <v>3189</v>
      </c>
      <c r="I734" s="422">
        <f>I735+I736</f>
        <v>3118.3</v>
      </c>
      <c r="J734" s="203">
        <f t="shared" si="68"/>
        <v>103.2891685988738</v>
      </c>
      <c r="K734" s="433">
        <f t="shared" si="69"/>
        <v>97.78300407651301</v>
      </c>
    </row>
    <row r="735" spans="1:11" ht="24">
      <c r="A735" s="87" t="s">
        <v>87</v>
      </c>
      <c r="B735" s="82" t="s">
        <v>892</v>
      </c>
      <c r="C735" s="85" t="s">
        <v>141</v>
      </c>
      <c r="D735" s="85" t="s">
        <v>584</v>
      </c>
      <c r="E735" s="85" t="s">
        <v>96</v>
      </c>
      <c r="F735" s="85" t="s">
        <v>88</v>
      </c>
      <c r="G735" s="90"/>
      <c r="H735" s="90">
        <v>3189</v>
      </c>
      <c r="I735" s="422">
        <v>3118.3</v>
      </c>
      <c r="J735" s="203"/>
      <c r="K735" s="433">
        <f t="shared" si="69"/>
        <v>97.78300407651301</v>
      </c>
    </row>
    <row r="736" spans="1:11" ht="24">
      <c r="A736" s="87" t="s">
        <v>585</v>
      </c>
      <c r="B736" s="82" t="s">
        <v>892</v>
      </c>
      <c r="C736" s="85" t="s">
        <v>141</v>
      </c>
      <c r="D736" s="85" t="s">
        <v>584</v>
      </c>
      <c r="E736" s="85" t="s">
        <v>1819</v>
      </c>
      <c r="F736" s="85" t="s">
        <v>1071</v>
      </c>
      <c r="G736" s="90">
        <f>G737</f>
        <v>3019</v>
      </c>
      <c r="H736" s="90">
        <f>H737</f>
        <v>0</v>
      </c>
      <c r="I736" s="422">
        <f>I737</f>
        <v>0</v>
      </c>
      <c r="J736" s="203">
        <f t="shared" si="68"/>
        <v>0</v>
      </c>
      <c r="K736" s="433"/>
    </row>
    <row r="737" spans="1:11" ht="24">
      <c r="A737" s="87" t="s">
        <v>171</v>
      </c>
      <c r="B737" s="82" t="s">
        <v>892</v>
      </c>
      <c r="C737" s="85" t="s">
        <v>141</v>
      </c>
      <c r="D737" s="85" t="s">
        <v>584</v>
      </c>
      <c r="E737" s="85" t="s">
        <v>1819</v>
      </c>
      <c r="F737" s="85" t="s">
        <v>436</v>
      </c>
      <c r="G737" s="90">
        <v>3019</v>
      </c>
      <c r="H737" s="90"/>
      <c r="I737" s="422"/>
      <c r="J737" s="203">
        <f t="shared" si="68"/>
        <v>0</v>
      </c>
      <c r="K737" s="433"/>
    </row>
    <row r="738" spans="1:11" ht="15.75" hidden="1">
      <c r="A738" s="106" t="s">
        <v>1533</v>
      </c>
      <c r="B738" s="82" t="s">
        <v>892</v>
      </c>
      <c r="C738" s="85" t="s">
        <v>141</v>
      </c>
      <c r="D738" s="85" t="s">
        <v>589</v>
      </c>
      <c r="E738" s="85"/>
      <c r="F738" s="85"/>
      <c r="G738" s="90">
        <f aca="true" t="shared" si="71" ref="G738:I739">G739</f>
        <v>0</v>
      </c>
      <c r="H738" s="90">
        <f t="shared" si="71"/>
        <v>0</v>
      </c>
      <c r="I738" s="422">
        <f t="shared" si="71"/>
        <v>0</v>
      </c>
      <c r="J738" s="203" t="e">
        <f t="shared" si="68"/>
        <v>#DIV/0!</v>
      </c>
      <c r="K738" s="433" t="e">
        <f t="shared" si="69"/>
        <v>#DIV/0!</v>
      </c>
    </row>
    <row r="739" spans="1:11" ht="15.75" hidden="1">
      <c r="A739" s="87" t="s">
        <v>1078</v>
      </c>
      <c r="B739" s="82" t="s">
        <v>892</v>
      </c>
      <c r="C739" s="85" t="s">
        <v>141</v>
      </c>
      <c r="D739" s="85" t="s">
        <v>589</v>
      </c>
      <c r="E739" s="85" t="s">
        <v>1079</v>
      </c>
      <c r="F739" s="85"/>
      <c r="G739" s="90">
        <f t="shared" si="71"/>
        <v>0</v>
      </c>
      <c r="H739" s="90">
        <f t="shared" si="71"/>
        <v>0</v>
      </c>
      <c r="I739" s="422">
        <f t="shared" si="71"/>
        <v>0</v>
      </c>
      <c r="J739" s="203" t="e">
        <f t="shared" si="68"/>
        <v>#DIV/0!</v>
      </c>
      <c r="K739" s="433" t="e">
        <f t="shared" si="69"/>
        <v>#DIV/0!</v>
      </c>
    </row>
    <row r="740" spans="1:11" ht="15.75" hidden="1">
      <c r="A740" s="87" t="s">
        <v>1080</v>
      </c>
      <c r="B740" s="82" t="s">
        <v>892</v>
      </c>
      <c r="C740" s="85" t="s">
        <v>141</v>
      </c>
      <c r="D740" s="85" t="s">
        <v>589</v>
      </c>
      <c r="E740" s="85" t="s">
        <v>1079</v>
      </c>
      <c r="F740" s="85" t="s">
        <v>1081</v>
      </c>
      <c r="G740" s="90">
        <f>55-55</f>
        <v>0</v>
      </c>
      <c r="H740" s="90">
        <f>55-55</f>
        <v>0</v>
      </c>
      <c r="I740" s="422">
        <f>55-55</f>
        <v>0</v>
      </c>
      <c r="J740" s="203" t="e">
        <f t="shared" si="68"/>
        <v>#DIV/0!</v>
      </c>
      <c r="K740" s="433" t="e">
        <f t="shared" si="69"/>
        <v>#DIV/0!</v>
      </c>
    </row>
    <row r="741" spans="1:11" ht="15.75" hidden="1">
      <c r="A741" s="91"/>
      <c r="B741" s="85"/>
      <c r="C741" s="85"/>
      <c r="D741" s="85"/>
      <c r="E741" s="85"/>
      <c r="F741" s="85"/>
      <c r="G741" s="90">
        <f aca="true" t="shared" si="72" ref="G741:I743">G742</f>
        <v>0</v>
      </c>
      <c r="H741" s="90">
        <f t="shared" si="72"/>
        <v>0</v>
      </c>
      <c r="I741" s="422">
        <f t="shared" si="72"/>
        <v>0</v>
      </c>
      <c r="J741" s="203" t="e">
        <f t="shared" si="68"/>
        <v>#DIV/0!</v>
      </c>
      <c r="K741" s="433" t="e">
        <f t="shared" si="69"/>
        <v>#DIV/0!</v>
      </c>
    </row>
    <row r="742" spans="1:11" ht="15.75" hidden="1">
      <c r="A742" s="93"/>
      <c r="B742" s="85"/>
      <c r="C742" s="85"/>
      <c r="D742" s="85"/>
      <c r="E742" s="85"/>
      <c r="F742" s="85"/>
      <c r="G742" s="90">
        <f t="shared" si="72"/>
        <v>0</v>
      </c>
      <c r="H742" s="90">
        <f t="shared" si="72"/>
        <v>0</v>
      </c>
      <c r="I742" s="422">
        <f t="shared" si="72"/>
        <v>0</v>
      </c>
      <c r="J742" s="203" t="e">
        <f t="shared" si="68"/>
        <v>#DIV/0!</v>
      </c>
      <c r="K742" s="433" t="e">
        <f t="shared" si="69"/>
        <v>#DIV/0!</v>
      </c>
    </row>
    <row r="743" spans="1:11" ht="15.75" hidden="1">
      <c r="A743" s="87"/>
      <c r="B743" s="85"/>
      <c r="C743" s="85"/>
      <c r="D743" s="85"/>
      <c r="E743" s="85"/>
      <c r="F743" s="85"/>
      <c r="G743" s="90">
        <f t="shared" si="72"/>
        <v>0</v>
      </c>
      <c r="H743" s="90">
        <f t="shared" si="72"/>
        <v>0</v>
      </c>
      <c r="I743" s="422">
        <f t="shared" si="72"/>
        <v>0</v>
      </c>
      <c r="J743" s="203" t="e">
        <f t="shared" si="68"/>
        <v>#DIV/0!</v>
      </c>
      <c r="K743" s="433" t="e">
        <f t="shared" si="69"/>
        <v>#DIV/0!</v>
      </c>
    </row>
    <row r="744" spans="1:11" ht="15.75" hidden="1">
      <c r="A744" s="87"/>
      <c r="B744" s="85"/>
      <c r="C744" s="85"/>
      <c r="D744" s="85"/>
      <c r="E744" s="85"/>
      <c r="F744" s="85"/>
      <c r="G744" s="90"/>
      <c r="H744" s="90"/>
      <c r="I744" s="422"/>
      <c r="J744" s="203" t="e">
        <f t="shared" si="68"/>
        <v>#DIV/0!</v>
      </c>
      <c r="K744" s="433" t="e">
        <f t="shared" si="69"/>
        <v>#DIV/0!</v>
      </c>
    </row>
    <row r="745" spans="1:11" ht="15">
      <c r="A745" s="91" t="s">
        <v>1535</v>
      </c>
      <c r="B745" s="82" t="s">
        <v>892</v>
      </c>
      <c r="C745" s="85" t="s">
        <v>141</v>
      </c>
      <c r="D745" s="85" t="s">
        <v>1083</v>
      </c>
      <c r="E745" s="85"/>
      <c r="F745" s="85"/>
      <c r="G745" s="90">
        <f aca="true" t="shared" si="73" ref="G745:I746">G746</f>
        <v>7000</v>
      </c>
      <c r="H745" s="90">
        <f t="shared" si="73"/>
        <v>8333</v>
      </c>
      <c r="I745" s="422">
        <f t="shared" si="73"/>
        <v>0</v>
      </c>
      <c r="J745" s="203">
        <f t="shared" si="68"/>
        <v>0</v>
      </c>
      <c r="K745" s="433">
        <f t="shared" si="69"/>
        <v>0</v>
      </c>
    </row>
    <row r="746" spans="1:11" ht="24">
      <c r="A746" s="93" t="s">
        <v>1535</v>
      </c>
      <c r="B746" s="82" t="s">
        <v>892</v>
      </c>
      <c r="C746" s="85" t="s">
        <v>141</v>
      </c>
      <c r="D746" s="85" t="s">
        <v>1083</v>
      </c>
      <c r="E746" s="85" t="s">
        <v>542</v>
      </c>
      <c r="F746" s="85"/>
      <c r="G746" s="90">
        <f t="shared" si="73"/>
        <v>7000</v>
      </c>
      <c r="H746" s="90">
        <f t="shared" si="73"/>
        <v>8333</v>
      </c>
      <c r="I746" s="422">
        <f t="shared" si="73"/>
        <v>0</v>
      </c>
      <c r="J746" s="203">
        <f t="shared" si="68"/>
        <v>0</v>
      </c>
      <c r="K746" s="433">
        <f t="shared" si="69"/>
        <v>0</v>
      </c>
    </row>
    <row r="747" spans="1:11" ht="24">
      <c r="A747" s="87" t="s">
        <v>543</v>
      </c>
      <c r="B747" s="82" t="s">
        <v>892</v>
      </c>
      <c r="C747" s="85" t="s">
        <v>141</v>
      </c>
      <c r="D747" s="85" t="s">
        <v>1083</v>
      </c>
      <c r="E747" s="85" t="s">
        <v>544</v>
      </c>
      <c r="F747" s="85" t="s">
        <v>1071</v>
      </c>
      <c r="G747" s="90">
        <f>G748+G754</f>
        <v>7000</v>
      </c>
      <c r="H747" s="90">
        <f>H748+H754</f>
        <v>8333</v>
      </c>
      <c r="I747" s="422">
        <f>I748+I754</f>
        <v>0</v>
      </c>
      <c r="J747" s="203">
        <f t="shared" si="68"/>
        <v>0</v>
      </c>
      <c r="K747" s="433">
        <f t="shared" si="69"/>
        <v>0</v>
      </c>
    </row>
    <row r="748" spans="1:11" ht="23.25" customHeight="1">
      <c r="A748" s="87" t="s">
        <v>540</v>
      </c>
      <c r="B748" s="82" t="s">
        <v>892</v>
      </c>
      <c r="C748" s="85" t="s">
        <v>141</v>
      </c>
      <c r="D748" s="85" t="s">
        <v>1083</v>
      </c>
      <c r="E748" s="85" t="s">
        <v>544</v>
      </c>
      <c r="F748" s="85" t="s">
        <v>541</v>
      </c>
      <c r="G748" s="90">
        <v>7000</v>
      </c>
      <c r="H748" s="90">
        <f>3584.8+7000-494.3-10090.5</f>
        <v>0</v>
      </c>
      <c r="I748" s="422">
        <f>3584.8+7000-494.3-10090.5</f>
        <v>0</v>
      </c>
      <c r="J748" s="203">
        <f t="shared" si="68"/>
        <v>0</v>
      </c>
      <c r="K748" s="433"/>
    </row>
    <row r="749" spans="1:11" ht="29.25" customHeight="1" hidden="1">
      <c r="A749" s="106" t="s">
        <v>545</v>
      </c>
      <c r="B749" s="82" t="s">
        <v>892</v>
      </c>
      <c r="C749" s="85" t="s">
        <v>141</v>
      </c>
      <c r="D749" s="85" t="s">
        <v>546</v>
      </c>
      <c r="E749" s="85"/>
      <c r="F749" s="85"/>
      <c r="G749" s="90">
        <f aca="true" t="shared" si="74" ref="G749:I752">G750</f>
        <v>0</v>
      </c>
      <c r="H749" s="90">
        <f t="shared" si="74"/>
        <v>0</v>
      </c>
      <c r="I749" s="422">
        <f t="shared" si="74"/>
        <v>0</v>
      </c>
      <c r="J749" s="203" t="e">
        <f t="shared" si="68"/>
        <v>#DIV/0!</v>
      </c>
      <c r="K749" s="433" t="e">
        <f t="shared" si="69"/>
        <v>#DIV/0!</v>
      </c>
    </row>
    <row r="750" spans="1:11" ht="30.75" customHeight="1" hidden="1">
      <c r="A750" s="93" t="s">
        <v>1604</v>
      </c>
      <c r="B750" s="82" t="s">
        <v>892</v>
      </c>
      <c r="C750" s="85" t="s">
        <v>141</v>
      </c>
      <c r="D750" s="85" t="s">
        <v>546</v>
      </c>
      <c r="E750" s="85" t="s">
        <v>547</v>
      </c>
      <c r="F750" s="85"/>
      <c r="G750" s="90">
        <f t="shared" si="74"/>
        <v>0</v>
      </c>
      <c r="H750" s="90">
        <f t="shared" si="74"/>
        <v>0</v>
      </c>
      <c r="I750" s="422">
        <f t="shared" si="74"/>
        <v>0</v>
      </c>
      <c r="J750" s="203" t="e">
        <f t="shared" si="68"/>
        <v>#DIV/0!</v>
      </c>
      <c r="K750" s="433" t="e">
        <f t="shared" si="69"/>
        <v>#DIV/0!</v>
      </c>
    </row>
    <row r="751" spans="1:11" ht="15" customHeight="1" hidden="1">
      <c r="A751" s="87" t="s">
        <v>548</v>
      </c>
      <c r="B751" s="82" t="s">
        <v>892</v>
      </c>
      <c r="C751" s="85" t="s">
        <v>141</v>
      </c>
      <c r="D751" s="85" t="s">
        <v>546</v>
      </c>
      <c r="E751" s="85" t="s">
        <v>549</v>
      </c>
      <c r="F751" s="200"/>
      <c r="G751" s="90">
        <f t="shared" si="74"/>
        <v>0</v>
      </c>
      <c r="H751" s="90">
        <f t="shared" si="74"/>
        <v>0</v>
      </c>
      <c r="I751" s="422">
        <f t="shared" si="74"/>
        <v>0</v>
      </c>
      <c r="J751" s="203" t="e">
        <f t="shared" si="68"/>
        <v>#DIV/0!</v>
      </c>
      <c r="K751" s="433" t="e">
        <f t="shared" si="69"/>
        <v>#DIV/0!</v>
      </c>
    </row>
    <row r="752" spans="1:11" ht="16.5" customHeight="1" hidden="1">
      <c r="A752" s="87" t="s">
        <v>661</v>
      </c>
      <c r="B752" s="82" t="s">
        <v>892</v>
      </c>
      <c r="C752" s="85" t="s">
        <v>141</v>
      </c>
      <c r="D752" s="85" t="s">
        <v>546</v>
      </c>
      <c r="E752" s="85" t="s">
        <v>662</v>
      </c>
      <c r="F752" s="85" t="s">
        <v>1071</v>
      </c>
      <c r="G752" s="90">
        <f t="shared" si="74"/>
        <v>0</v>
      </c>
      <c r="H752" s="90">
        <f t="shared" si="74"/>
        <v>0</v>
      </c>
      <c r="I752" s="422">
        <f t="shared" si="74"/>
        <v>0</v>
      </c>
      <c r="J752" s="203" t="e">
        <f t="shared" si="68"/>
        <v>#DIV/0!</v>
      </c>
      <c r="K752" s="433" t="e">
        <f t="shared" si="69"/>
        <v>#DIV/0!</v>
      </c>
    </row>
    <row r="753" spans="1:11" ht="16.5" customHeight="1" hidden="1">
      <c r="A753" s="87" t="s">
        <v>1758</v>
      </c>
      <c r="B753" s="82" t="s">
        <v>892</v>
      </c>
      <c r="C753" s="85" t="s">
        <v>141</v>
      </c>
      <c r="D753" s="85" t="s">
        <v>546</v>
      </c>
      <c r="E753" s="85" t="s">
        <v>662</v>
      </c>
      <c r="F753" s="85" t="s">
        <v>1878</v>
      </c>
      <c r="G753" s="90">
        <v>0</v>
      </c>
      <c r="H753" s="90">
        <v>0</v>
      </c>
      <c r="I753" s="422"/>
      <c r="J753" s="203" t="e">
        <f t="shared" si="68"/>
        <v>#DIV/0!</v>
      </c>
      <c r="K753" s="433" t="e">
        <f t="shared" si="69"/>
        <v>#DIV/0!</v>
      </c>
    </row>
    <row r="754" spans="1:11" ht="16.5" customHeight="1">
      <c r="A754" s="87" t="s">
        <v>97</v>
      </c>
      <c r="B754" s="82" t="s">
        <v>892</v>
      </c>
      <c r="C754" s="85" t="s">
        <v>141</v>
      </c>
      <c r="D754" s="85" t="s">
        <v>1083</v>
      </c>
      <c r="E754" s="85" t="s">
        <v>544</v>
      </c>
      <c r="F754" s="85" t="s">
        <v>98</v>
      </c>
      <c r="G754" s="90"/>
      <c r="H754" s="90">
        <v>8333</v>
      </c>
      <c r="I754" s="422"/>
      <c r="J754" s="203"/>
      <c r="K754" s="433">
        <f t="shared" si="69"/>
        <v>0</v>
      </c>
    </row>
    <row r="755" spans="1:11" ht="18.75" customHeight="1">
      <c r="A755" s="91" t="s">
        <v>1538</v>
      </c>
      <c r="B755" s="82" t="s">
        <v>892</v>
      </c>
      <c r="C755" s="85" t="s">
        <v>141</v>
      </c>
      <c r="D755" s="85" t="s">
        <v>546</v>
      </c>
      <c r="E755" s="85"/>
      <c r="F755" s="85"/>
      <c r="G755" s="90">
        <f>G756+G759+G777+G792+G803</f>
        <v>219904.3</v>
      </c>
      <c r="H755" s="90">
        <f>H756+H759+H777+H792+H803</f>
        <v>465695.5</v>
      </c>
      <c r="I755" s="422">
        <f>I756+I759+I777+I792+I803</f>
        <v>461545.39999999997</v>
      </c>
      <c r="J755" s="421" t="s">
        <v>1212</v>
      </c>
      <c r="K755" s="433">
        <f t="shared" si="69"/>
        <v>99.10883828596153</v>
      </c>
    </row>
    <row r="756" spans="1:11" ht="24" hidden="1">
      <c r="A756" s="91" t="s">
        <v>1759</v>
      </c>
      <c r="B756" s="82" t="s">
        <v>892</v>
      </c>
      <c r="C756" s="85" t="s">
        <v>141</v>
      </c>
      <c r="D756" s="85" t="s">
        <v>546</v>
      </c>
      <c r="E756" s="85" t="s">
        <v>432</v>
      </c>
      <c r="F756" s="85"/>
      <c r="G756" s="90">
        <f>G757</f>
        <v>0</v>
      </c>
      <c r="H756" s="90">
        <f>H757</f>
        <v>0</v>
      </c>
      <c r="I756" s="422">
        <f>I757</f>
        <v>0</v>
      </c>
      <c r="J756" s="203" t="e">
        <f t="shared" si="68"/>
        <v>#DIV/0!</v>
      </c>
      <c r="K756" s="433" t="e">
        <f t="shared" si="69"/>
        <v>#DIV/0!</v>
      </c>
    </row>
    <row r="757" spans="1:11" ht="15.75" hidden="1">
      <c r="A757" s="87" t="s">
        <v>171</v>
      </c>
      <c r="B757" s="82" t="s">
        <v>892</v>
      </c>
      <c r="C757" s="85" t="s">
        <v>141</v>
      </c>
      <c r="D757" s="85" t="s">
        <v>546</v>
      </c>
      <c r="E757" s="85" t="s">
        <v>432</v>
      </c>
      <c r="F757" s="85" t="s">
        <v>436</v>
      </c>
      <c r="G757" s="90"/>
      <c r="H757" s="90"/>
      <c r="I757" s="422"/>
      <c r="J757" s="203" t="e">
        <f t="shared" si="68"/>
        <v>#DIV/0!</v>
      </c>
      <c r="K757" s="433" t="e">
        <f t="shared" si="69"/>
        <v>#DIV/0!</v>
      </c>
    </row>
    <row r="758" spans="1:11" ht="15.75" hidden="1">
      <c r="A758" s="86"/>
      <c r="B758" s="82"/>
      <c r="C758" s="85"/>
      <c r="D758" s="85"/>
      <c r="E758" s="85"/>
      <c r="F758" s="85"/>
      <c r="G758" s="90"/>
      <c r="H758" s="90"/>
      <c r="I758" s="422"/>
      <c r="J758" s="203" t="e">
        <f t="shared" si="68"/>
        <v>#DIV/0!</v>
      </c>
      <c r="K758" s="433" t="e">
        <f t="shared" si="69"/>
        <v>#DIV/0!</v>
      </c>
    </row>
    <row r="759" spans="1:11" ht="36">
      <c r="A759" s="86" t="s">
        <v>143</v>
      </c>
      <c r="B759" s="82" t="s">
        <v>892</v>
      </c>
      <c r="C759" s="85" t="s">
        <v>141</v>
      </c>
      <c r="D759" s="85" t="s">
        <v>546</v>
      </c>
      <c r="E759" s="85" t="s">
        <v>144</v>
      </c>
      <c r="F759" s="85"/>
      <c r="G759" s="90">
        <f>G760+G766+G770+G775</f>
        <v>45954.1</v>
      </c>
      <c r="H759" s="90">
        <f>H760+H766+H770+H775</f>
        <v>49727.6</v>
      </c>
      <c r="I759" s="422">
        <f>I760+I766+I770+I775</f>
        <v>47539</v>
      </c>
      <c r="J759" s="203">
        <f t="shared" si="68"/>
        <v>103.44887616121304</v>
      </c>
      <c r="K759" s="433">
        <f t="shared" si="69"/>
        <v>95.59882238434994</v>
      </c>
    </row>
    <row r="760" spans="1:11" ht="24">
      <c r="A760" s="92" t="s">
        <v>1599</v>
      </c>
      <c r="B760" s="82" t="s">
        <v>892</v>
      </c>
      <c r="C760" s="85" t="s">
        <v>141</v>
      </c>
      <c r="D760" s="85" t="s">
        <v>546</v>
      </c>
      <c r="E760" s="85" t="s">
        <v>1884</v>
      </c>
      <c r="F760" s="85" t="s">
        <v>1071</v>
      </c>
      <c r="G760" s="90">
        <f>G761+G762+G763+G764+G765</f>
        <v>17811.1</v>
      </c>
      <c r="H760" s="90">
        <f>H761+H762+H763+H764+H765</f>
        <v>18318.5</v>
      </c>
      <c r="I760" s="422">
        <f>I761+I762+I763+I764+I765</f>
        <v>17360.9</v>
      </c>
      <c r="J760" s="203">
        <f t="shared" si="68"/>
        <v>97.47236274008905</v>
      </c>
      <c r="K760" s="433">
        <f t="shared" si="69"/>
        <v>94.77249774817807</v>
      </c>
    </row>
    <row r="761" spans="1:11" ht="24">
      <c r="A761" s="87" t="s">
        <v>1832</v>
      </c>
      <c r="B761" s="82" t="s">
        <v>892</v>
      </c>
      <c r="C761" s="85" t="s">
        <v>141</v>
      </c>
      <c r="D761" s="85" t="s">
        <v>546</v>
      </c>
      <c r="E761" s="85" t="s">
        <v>1884</v>
      </c>
      <c r="F761" s="85" t="s">
        <v>1833</v>
      </c>
      <c r="G761" s="90"/>
      <c r="H761" s="90">
        <v>17574.7</v>
      </c>
      <c r="I761" s="422">
        <v>16630.1</v>
      </c>
      <c r="J761" s="203"/>
      <c r="K761" s="433">
        <f t="shared" si="69"/>
        <v>94.62522831115182</v>
      </c>
    </row>
    <row r="762" spans="1:11" ht="24">
      <c r="A762" s="87" t="s">
        <v>1843</v>
      </c>
      <c r="B762" s="82" t="s">
        <v>892</v>
      </c>
      <c r="C762" s="85" t="s">
        <v>141</v>
      </c>
      <c r="D762" s="85" t="s">
        <v>546</v>
      </c>
      <c r="E762" s="85" t="s">
        <v>1884</v>
      </c>
      <c r="F762" s="85" t="s">
        <v>1835</v>
      </c>
      <c r="G762" s="90"/>
      <c r="H762" s="90">
        <f>10-9</f>
        <v>1</v>
      </c>
      <c r="I762" s="422">
        <v>0.4</v>
      </c>
      <c r="J762" s="203"/>
      <c r="K762" s="433">
        <f t="shared" si="69"/>
        <v>40</v>
      </c>
    </row>
    <row r="763" spans="1:11" ht="24">
      <c r="A763" s="87" t="s">
        <v>1836</v>
      </c>
      <c r="B763" s="82" t="s">
        <v>892</v>
      </c>
      <c r="C763" s="85" t="s">
        <v>141</v>
      </c>
      <c r="D763" s="85" t="s">
        <v>546</v>
      </c>
      <c r="E763" s="85" t="s">
        <v>1884</v>
      </c>
      <c r="F763" s="85" t="s">
        <v>1837</v>
      </c>
      <c r="G763" s="90"/>
      <c r="H763" s="90">
        <f>568+130-2+9+72.1-36.3</f>
        <v>740.8000000000001</v>
      </c>
      <c r="I763" s="422">
        <v>729.4</v>
      </c>
      <c r="J763" s="203"/>
      <c r="K763" s="433">
        <f t="shared" si="69"/>
        <v>98.46112311015118</v>
      </c>
    </row>
    <row r="764" spans="1:11" ht="24">
      <c r="A764" s="87" t="s">
        <v>1597</v>
      </c>
      <c r="B764" s="82" t="s">
        <v>892</v>
      </c>
      <c r="C764" s="85" t="s">
        <v>141</v>
      </c>
      <c r="D764" s="85" t="s">
        <v>546</v>
      </c>
      <c r="E764" s="85" t="s">
        <v>1884</v>
      </c>
      <c r="F764" s="85" t="s">
        <v>436</v>
      </c>
      <c r="G764" s="90">
        <v>17811.1</v>
      </c>
      <c r="H764" s="90">
        <v>0</v>
      </c>
      <c r="I764" s="422">
        <v>0</v>
      </c>
      <c r="J764" s="203">
        <f aca="true" t="shared" si="75" ref="J764:J827">I764/G764*100</f>
        <v>0</v>
      </c>
      <c r="K764" s="433"/>
    </row>
    <row r="765" spans="1:11" ht="24">
      <c r="A765" s="87" t="s">
        <v>1838</v>
      </c>
      <c r="B765" s="82" t="s">
        <v>892</v>
      </c>
      <c r="C765" s="85" t="s">
        <v>141</v>
      </c>
      <c r="D765" s="85" t="s">
        <v>546</v>
      </c>
      <c r="E765" s="85" t="s">
        <v>1884</v>
      </c>
      <c r="F765" s="85" t="s">
        <v>1839</v>
      </c>
      <c r="G765" s="90"/>
      <c r="H765" s="90">
        <v>2</v>
      </c>
      <c r="I765" s="422">
        <v>1</v>
      </c>
      <c r="J765" s="203"/>
      <c r="K765" s="433">
        <f aca="true" t="shared" si="76" ref="K765:K827">I765/H765*100</f>
        <v>50</v>
      </c>
    </row>
    <row r="766" spans="1:11" ht="24">
      <c r="A766" s="349" t="s">
        <v>1840</v>
      </c>
      <c r="B766" s="82" t="s">
        <v>892</v>
      </c>
      <c r="C766" s="85" t="s">
        <v>141</v>
      </c>
      <c r="D766" s="85" t="s">
        <v>546</v>
      </c>
      <c r="E766" s="85" t="s">
        <v>1841</v>
      </c>
      <c r="F766" s="85" t="s">
        <v>1071</v>
      </c>
      <c r="G766" s="90">
        <f>G767+G768+G769</f>
        <v>15678.9</v>
      </c>
      <c r="H766" s="90">
        <f>H767+H768+H769</f>
        <v>15678.9</v>
      </c>
      <c r="I766" s="422">
        <f>I767+I768+I769</f>
        <v>15653.4</v>
      </c>
      <c r="J766" s="203">
        <f t="shared" si="75"/>
        <v>99.83736103935863</v>
      </c>
      <c r="K766" s="433">
        <f t="shared" si="76"/>
        <v>99.83736103935863</v>
      </c>
    </row>
    <row r="767" spans="1:11" ht="24">
      <c r="A767" s="87" t="s">
        <v>100</v>
      </c>
      <c r="B767" s="82" t="s">
        <v>892</v>
      </c>
      <c r="C767" s="85" t="s">
        <v>141</v>
      </c>
      <c r="D767" s="85" t="s">
        <v>546</v>
      </c>
      <c r="E767" s="85" t="s">
        <v>1841</v>
      </c>
      <c r="F767" s="85" t="s">
        <v>101</v>
      </c>
      <c r="G767" s="90">
        <v>15673.9</v>
      </c>
      <c r="H767" s="90"/>
      <c r="I767" s="422"/>
      <c r="J767" s="203">
        <f t="shared" si="75"/>
        <v>0</v>
      </c>
      <c r="K767" s="433"/>
    </row>
    <row r="768" spans="1:11" ht="24">
      <c r="A768" s="87" t="s">
        <v>171</v>
      </c>
      <c r="B768" s="82" t="s">
        <v>892</v>
      </c>
      <c r="C768" s="85" t="s">
        <v>141</v>
      </c>
      <c r="D768" s="85" t="s">
        <v>546</v>
      </c>
      <c r="E768" s="85" t="s">
        <v>1841</v>
      </c>
      <c r="F768" s="85" t="s">
        <v>436</v>
      </c>
      <c r="G768" s="90">
        <v>5</v>
      </c>
      <c r="H768" s="90"/>
      <c r="I768" s="422"/>
      <c r="J768" s="203">
        <f t="shared" si="75"/>
        <v>0</v>
      </c>
      <c r="K768" s="433"/>
    </row>
    <row r="769" spans="1:11" ht="24">
      <c r="A769" s="87" t="s">
        <v>1840</v>
      </c>
      <c r="B769" s="82" t="s">
        <v>892</v>
      </c>
      <c r="C769" s="85" t="s">
        <v>141</v>
      </c>
      <c r="D769" s="85" t="s">
        <v>546</v>
      </c>
      <c r="E769" s="85" t="s">
        <v>1841</v>
      </c>
      <c r="F769" s="85" t="s">
        <v>1842</v>
      </c>
      <c r="G769" s="90"/>
      <c r="H769" s="90">
        <v>15678.9</v>
      </c>
      <c r="I769" s="422">
        <v>15653.4</v>
      </c>
      <c r="J769" s="203"/>
      <c r="K769" s="433">
        <f t="shared" si="76"/>
        <v>99.83736103935863</v>
      </c>
    </row>
    <row r="770" spans="1:11" ht="24">
      <c r="A770" s="87" t="s">
        <v>661</v>
      </c>
      <c r="B770" s="82" t="s">
        <v>892</v>
      </c>
      <c r="C770" s="85" t="s">
        <v>141</v>
      </c>
      <c r="D770" s="85" t="s">
        <v>546</v>
      </c>
      <c r="E770" s="85" t="s">
        <v>1760</v>
      </c>
      <c r="F770" s="85" t="s">
        <v>1071</v>
      </c>
      <c r="G770" s="90">
        <f>G771+G772+G773+G774</f>
        <v>12464.1</v>
      </c>
      <c r="H770" s="90">
        <f>H771+H772+H773+H774</f>
        <v>15730.199999999999</v>
      </c>
      <c r="I770" s="422">
        <f>I771+I772+I773+I774</f>
        <v>14524.699999999999</v>
      </c>
      <c r="J770" s="203">
        <f t="shared" si="75"/>
        <v>116.53228071019967</v>
      </c>
      <c r="K770" s="433">
        <f t="shared" si="76"/>
        <v>92.33639750289252</v>
      </c>
    </row>
    <row r="771" spans="1:11" ht="24">
      <c r="A771" s="87" t="s">
        <v>100</v>
      </c>
      <c r="B771" s="82" t="s">
        <v>892</v>
      </c>
      <c r="C771" s="85" t="s">
        <v>141</v>
      </c>
      <c r="D771" s="85" t="s">
        <v>546</v>
      </c>
      <c r="E771" s="85" t="s">
        <v>1760</v>
      </c>
      <c r="F771" s="85" t="s">
        <v>101</v>
      </c>
      <c r="G771" s="90">
        <v>12464.1</v>
      </c>
      <c r="H771" s="90"/>
      <c r="I771" s="422"/>
      <c r="J771" s="203">
        <f t="shared" si="75"/>
        <v>0</v>
      </c>
      <c r="K771" s="433"/>
    </row>
    <row r="772" spans="1:11" ht="24">
      <c r="A772" s="87" t="s">
        <v>1832</v>
      </c>
      <c r="B772" s="82" t="s">
        <v>892</v>
      </c>
      <c r="C772" s="85" t="s">
        <v>141</v>
      </c>
      <c r="D772" s="85" t="s">
        <v>546</v>
      </c>
      <c r="E772" s="85" t="s">
        <v>1760</v>
      </c>
      <c r="F772" s="85" t="s">
        <v>99</v>
      </c>
      <c r="G772" s="90"/>
      <c r="H772" s="90">
        <v>7584.4</v>
      </c>
      <c r="I772" s="422">
        <v>7436.4</v>
      </c>
      <c r="J772" s="203"/>
      <c r="K772" s="433">
        <f t="shared" si="76"/>
        <v>98.04862612731397</v>
      </c>
    </row>
    <row r="773" spans="1:11" ht="24">
      <c r="A773" s="87" t="s">
        <v>1836</v>
      </c>
      <c r="B773" s="82" t="s">
        <v>892</v>
      </c>
      <c r="C773" s="85" t="s">
        <v>141</v>
      </c>
      <c r="D773" s="85" t="s">
        <v>546</v>
      </c>
      <c r="E773" s="85" t="s">
        <v>1760</v>
      </c>
      <c r="F773" s="85" t="s">
        <v>1837</v>
      </c>
      <c r="G773" s="90"/>
      <c r="H773" s="90">
        <v>8131.4</v>
      </c>
      <c r="I773" s="422">
        <v>7081</v>
      </c>
      <c r="J773" s="203"/>
      <c r="K773" s="433">
        <f t="shared" si="76"/>
        <v>87.08217527117102</v>
      </c>
    </row>
    <row r="774" spans="1:11" ht="24">
      <c r="A774" s="349" t="s">
        <v>1838</v>
      </c>
      <c r="B774" s="82" t="s">
        <v>892</v>
      </c>
      <c r="C774" s="85" t="s">
        <v>141</v>
      </c>
      <c r="D774" s="85" t="s">
        <v>546</v>
      </c>
      <c r="E774" s="85" t="s">
        <v>1760</v>
      </c>
      <c r="F774" s="85" t="s">
        <v>1839</v>
      </c>
      <c r="G774" s="90"/>
      <c r="H774" s="90">
        <f>11.4+3</f>
        <v>14.4</v>
      </c>
      <c r="I774" s="422">
        <v>7.3</v>
      </c>
      <c r="J774" s="203"/>
      <c r="K774" s="433">
        <f t="shared" si="76"/>
        <v>50.69444444444444</v>
      </c>
    </row>
    <row r="775" spans="1:11" ht="15.75" hidden="1">
      <c r="A775" s="349" t="s">
        <v>1840</v>
      </c>
      <c r="B775" s="82" t="s">
        <v>892</v>
      </c>
      <c r="C775" s="85" t="s">
        <v>141</v>
      </c>
      <c r="D775" s="85" t="s">
        <v>546</v>
      </c>
      <c r="E775" s="85" t="s">
        <v>1841</v>
      </c>
      <c r="F775" s="85" t="s">
        <v>1071</v>
      </c>
      <c r="G775" s="90">
        <f>G776</f>
        <v>0</v>
      </c>
      <c r="H775" s="90">
        <f>H776</f>
        <v>0</v>
      </c>
      <c r="I775" s="422">
        <f>I776</f>
        <v>0</v>
      </c>
      <c r="J775" s="203" t="e">
        <f t="shared" si="75"/>
        <v>#DIV/0!</v>
      </c>
      <c r="K775" s="433" t="e">
        <f t="shared" si="76"/>
        <v>#DIV/0!</v>
      </c>
    </row>
    <row r="776" spans="1:11" ht="15.75" hidden="1">
      <c r="A776" s="87" t="s">
        <v>100</v>
      </c>
      <c r="B776" s="82" t="s">
        <v>892</v>
      </c>
      <c r="C776" s="85" t="s">
        <v>141</v>
      </c>
      <c r="D776" s="85" t="s">
        <v>546</v>
      </c>
      <c r="E776" s="85" t="s">
        <v>1841</v>
      </c>
      <c r="F776" s="85" t="s">
        <v>101</v>
      </c>
      <c r="G776" s="90"/>
      <c r="H776" s="90"/>
      <c r="I776" s="422"/>
      <c r="J776" s="203" t="e">
        <f t="shared" si="75"/>
        <v>#DIV/0!</v>
      </c>
      <c r="K776" s="433" t="e">
        <f t="shared" si="76"/>
        <v>#DIV/0!</v>
      </c>
    </row>
    <row r="777" spans="1:11" ht="24">
      <c r="A777" s="93" t="s">
        <v>1761</v>
      </c>
      <c r="B777" s="82" t="s">
        <v>892</v>
      </c>
      <c r="C777" s="85" t="s">
        <v>141</v>
      </c>
      <c r="D777" s="85" t="s">
        <v>546</v>
      </c>
      <c r="E777" s="85" t="s">
        <v>573</v>
      </c>
      <c r="F777" s="85"/>
      <c r="G777" s="90">
        <f>G778+G781</f>
        <v>8339.2</v>
      </c>
      <c r="H777" s="90">
        <f>H778+H781</f>
        <v>103645.29999999999</v>
      </c>
      <c r="I777" s="422">
        <f>I778+I781</f>
        <v>101683.79999999999</v>
      </c>
      <c r="J777" s="421" t="s">
        <v>1212</v>
      </c>
      <c r="K777" s="433">
        <f t="shared" si="76"/>
        <v>98.1074877490827</v>
      </c>
    </row>
    <row r="778" spans="1:11" ht="24">
      <c r="A778" s="92" t="s">
        <v>102</v>
      </c>
      <c r="B778" s="82" t="s">
        <v>892</v>
      </c>
      <c r="C778" s="85" t="s">
        <v>141</v>
      </c>
      <c r="D778" s="85" t="s">
        <v>546</v>
      </c>
      <c r="E778" s="85" t="s">
        <v>891</v>
      </c>
      <c r="F778" s="85" t="s">
        <v>1071</v>
      </c>
      <c r="G778" s="90">
        <f>G779+G780</f>
        <v>50</v>
      </c>
      <c r="H778" s="90">
        <f>H779+H780</f>
        <v>25</v>
      </c>
      <c r="I778" s="422">
        <f>I779+I780</f>
        <v>19.9</v>
      </c>
      <c r="J778" s="203">
        <f t="shared" si="75"/>
        <v>39.8</v>
      </c>
      <c r="K778" s="433">
        <f t="shared" si="76"/>
        <v>79.6</v>
      </c>
    </row>
    <row r="779" spans="1:11" ht="24">
      <c r="A779" s="87" t="s">
        <v>171</v>
      </c>
      <c r="B779" s="82" t="s">
        <v>892</v>
      </c>
      <c r="C779" s="85" t="s">
        <v>141</v>
      </c>
      <c r="D779" s="85" t="s">
        <v>546</v>
      </c>
      <c r="E779" s="85" t="s">
        <v>891</v>
      </c>
      <c r="F779" s="85" t="s">
        <v>436</v>
      </c>
      <c r="G779" s="90">
        <v>50</v>
      </c>
      <c r="H779" s="90"/>
      <c r="I779" s="422"/>
      <c r="J779" s="203">
        <f t="shared" si="75"/>
        <v>0</v>
      </c>
      <c r="K779" s="433"/>
    </row>
    <row r="780" spans="1:11" ht="24">
      <c r="A780" s="87" t="s">
        <v>1836</v>
      </c>
      <c r="B780" s="82" t="s">
        <v>892</v>
      </c>
      <c r="C780" s="85" t="s">
        <v>141</v>
      </c>
      <c r="D780" s="85" t="s">
        <v>546</v>
      </c>
      <c r="E780" s="85" t="s">
        <v>891</v>
      </c>
      <c r="F780" s="85" t="s">
        <v>1837</v>
      </c>
      <c r="G780" s="90"/>
      <c r="H780" s="90">
        <f>50-25</f>
        <v>25</v>
      </c>
      <c r="I780" s="422">
        <v>19.9</v>
      </c>
      <c r="J780" s="203"/>
      <c r="K780" s="433">
        <f t="shared" si="76"/>
        <v>79.6</v>
      </c>
    </row>
    <row r="781" spans="1:11" ht="24">
      <c r="A781" s="87" t="s">
        <v>1763</v>
      </c>
      <c r="B781" s="82" t="s">
        <v>892</v>
      </c>
      <c r="C781" s="85" t="s">
        <v>141</v>
      </c>
      <c r="D781" s="85" t="s">
        <v>546</v>
      </c>
      <c r="E781" s="85" t="s">
        <v>34</v>
      </c>
      <c r="F781" s="85" t="s">
        <v>1071</v>
      </c>
      <c r="G781" s="90">
        <f>G782+G783+G786+G787+G788</f>
        <v>8289.2</v>
      </c>
      <c r="H781" s="90">
        <f>H782+H783+H786+H787+H788</f>
        <v>103620.29999999999</v>
      </c>
      <c r="I781" s="422">
        <f>I782+I783+I786+I787+I788</f>
        <v>101663.9</v>
      </c>
      <c r="J781" s="421" t="s">
        <v>1212</v>
      </c>
      <c r="K781" s="433">
        <f t="shared" si="76"/>
        <v>98.11195296674494</v>
      </c>
    </row>
    <row r="782" spans="1:11" ht="24">
      <c r="A782" s="358" t="s">
        <v>171</v>
      </c>
      <c r="B782" s="82" t="s">
        <v>892</v>
      </c>
      <c r="C782" s="85" t="s">
        <v>141</v>
      </c>
      <c r="D782" s="85" t="s">
        <v>546</v>
      </c>
      <c r="E782" s="85" t="s">
        <v>34</v>
      </c>
      <c r="F782" s="85" t="s">
        <v>436</v>
      </c>
      <c r="G782" s="90">
        <v>8289.2</v>
      </c>
      <c r="H782" s="90"/>
      <c r="I782" s="422"/>
      <c r="J782" s="203">
        <f t="shared" si="75"/>
        <v>0</v>
      </c>
      <c r="K782" s="433"/>
    </row>
    <row r="783" spans="1:11" ht="24">
      <c r="A783" s="87" t="s">
        <v>104</v>
      </c>
      <c r="B783" s="82" t="s">
        <v>892</v>
      </c>
      <c r="C783" s="85" t="s">
        <v>141</v>
      </c>
      <c r="D783" s="85" t="s">
        <v>546</v>
      </c>
      <c r="E783" s="85" t="s">
        <v>34</v>
      </c>
      <c r="F783" s="85" t="s">
        <v>1837</v>
      </c>
      <c r="G783" s="90">
        <f>G784+G785</f>
        <v>0</v>
      </c>
      <c r="H783" s="90">
        <f>H784+H785</f>
        <v>86678.2</v>
      </c>
      <c r="I783" s="422">
        <f>I784+I785</f>
        <v>86174.7</v>
      </c>
      <c r="J783" s="203"/>
      <c r="K783" s="433">
        <f t="shared" si="76"/>
        <v>99.41911576382527</v>
      </c>
    </row>
    <row r="784" spans="1:11" ht="24">
      <c r="A784" s="87" t="s">
        <v>105</v>
      </c>
      <c r="B784" s="82" t="s">
        <v>892</v>
      </c>
      <c r="C784" s="85" t="s">
        <v>141</v>
      </c>
      <c r="D784" s="85" t="s">
        <v>546</v>
      </c>
      <c r="E784" s="85" t="s">
        <v>34</v>
      </c>
      <c r="F784" s="85" t="s">
        <v>1837</v>
      </c>
      <c r="G784" s="90"/>
      <c r="H784" s="90">
        <v>83459.2</v>
      </c>
      <c r="I784" s="422">
        <v>83459.2</v>
      </c>
      <c r="J784" s="203"/>
      <c r="K784" s="433">
        <f t="shared" si="76"/>
        <v>100</v>
      </c>
    </row>
    <row r="785" spans="1:11" ht="24">
      <c r="A785" s="87" t="s">
        <v>1836</v>
      </c>
      <c r="B785" s="82" t="s">
        <v>892</v>
      </c>
      <c r="C785" s="85" t="s">
        <v>141</v>
      </c>
      <c r="D785" s="85" t="s">
        <v>546</v>
      </c>
      <c r="E785" s="85" t="s">
        <v>34</v>
      </c>
      <c r="F785" s="85" t="s">
        <v>1837</v>
      </c>
      <c r="G785" s="90"/>
      <c r="H785" s="90">
        <v>3219</v>
      </c>
      <c r="I785" s="422">
        <v>2715.5</v>
      </c>
      <c r="J785" s="203"/>
      <c r="K785" s="433">
        <f t="shared" si="76"/>
        <v>84.35849642746194</v>
      </c>
    </row>
    <row r="786" spans="1:11" ht="24">
      <c r="A786" s="87" t="s">
        <v>106</v>
      </c>
      <c r="B786" s="82" t="s">
        <v>892</v>
      </c>
      <c r="C786" s="85" t="s">
        <v>141</v>
      </c>
      <c r="D786" s="85" t="s">
        <v>546</v>
      </c>
      <c r="E786" s="85" t="s">
        <v>34</v>
      </c>
      <c r="F786" s="85" t="s">
        <v>181</v>
      </c>
      <c r="G786" s="90"/>
      <c r="H786" s="90">
        <v>1347.4</v>
      </c>
      <c r="I786" s="422">
        <v>1347.4</v>
      </c>
      <c r="J786" s="203"/>
      <c r="K786" s="433">
        <f t="shared" si="76"/>
        <v>100</v>
      </c>
    </row>
    <row r="787" spans="1:11" ht="48">
      <c r="A787" s="87" t="s">
        <v>182</v>
      </c>
      <c r="B787" s="82" t="s">
        <v>892</v>
      </c>
      <c r="C787" s="85" t="s">
        <v>141</v>
      </c>
      <c r="D787" s="85" t="s">
        <v>546</v>
      </c>
      <c r="E787" s="85" t="s">
        <v>34</v>
      </c>
      <c r="F787" s="85" t="s">
        <v>1409</v>
      </c>
      <c r="G787" s="90"/>
      <c r="H787" s="90">
        <f>3474.5+517.2</f>
        <v>3991.7</v>
      </c>
      <c r="I787" s="422">
        <v>3991.7</v>
      </c>
      <c r="J787" s="203"/>
      <c r="K787" s="433">
        <f t="shared" si="76"/>
        <v>100</v>
      </c>
    </row>
    <row r="788" spans="1:11" ht="24">
      <c r="A788" s="87" t="s">
        <v>183</v>
      </c>
      <c r="B788" s="82" t="s">
        <v>892</v>
      </c>
      <c r="C788" s="85" t="s">
        <v>141</v>
      </c>
      <c r="D788" s="85" t="s">
        <v>546</v>
      </c>
      <c r="E788" s="85" t="s">
        <v>34</v>
      </c>
      <c r="F788" s="85" t="s">
        <v>184</v>
      </c>
      <c r="G788" s="90">
        <f>G789+G790+G791</f>
        <v>0</v>
      </c>
      <c r="H788" s="90">
        <f>H789+H790+H791</f>
        <v>11603</v>
      </c>
      <c r="I788" s="422">
        <f>I789+I790+I791</f>
        <v>10150.099999999999</v>
      </c>
      <c r="J788" s="203"/>
      <c r="K788" s="433">
        <f t="shared" si="76"/>
        <v>87.47823838662414</v>
      </c>
    </row>
    <row r="789" spans="1:11" ht="36">
      <c r="A789" s="92" t="s">
        <v>185</v>
      </c>
      <c r="B789" s="82" t="s">
        <v>892</v>
      </c>
      <c r="C789" s="85" t="s">
        <v>141</v>
      </c>
      <c r="D789" s="85" t="s">
        <v>546</v>
      </c>
      <c r="E789" s="85" t="s">
        <v>34</v>
      </c>
      <c r="F789" s="85" t="s">
        <v>186</v>
      </c>
      <c r="G789" s="90"/>
      <c r="H789" s="90">
        <v>1937.1</v>
      </c>
      <c r="I789" s="422">
        <v>1225.2</v>
      </c>
      <c r="J789" s="203"/>
      <c r="K789" s="433">
        <f t="shared" si="76"/>
        <v>63.249186928914355</v>
      </c>
    </row>
    <row r="790" spans="1:11" ht="24">
      <c r="A790" s="349" t="s">
        <v>1838</v>
      </c>
      <c r="B790" s="82" t="s">
        <v>892</v>
      </c>
      <c r="C790" s="85" t="s">
        <v>141</v>
      </c>
      <c r="D790" s="85" t="s">
        <v>546</v>
      </c>
      <c r="E790" s="85" t="s">
        <v>34</v>
      </c>
      <c r="F790" s="85" t="s">
        <v>1839</v>
      </c>
      <c r="G790" s="90"/>
      <c r="H790" s="90">
        <v>510.6</v>
      </c>
      <c r="I790" s="422">
        <v>510.6</v>
      </c>
      <c r="J790" s="203"/>
      <c r="K790" s="433">
        <f t="shared" si="76"/>
        <v>100</v>
      </c>
    </row>
    <row r="791" spans="1:11" ht="24">
      <c r="A791" s="92" t="s">
        <v>187</v>
      </c>
      <c r="B791" s="82" t="s">
        <v>892</v>
      </c>
      <c r="C791" s="85" t="s">
        <v>141</v>
      </c>
      <c r="D791" s="85" t="s">
        <v>546</v>
      </c>
      <c r="E791" s="85" t="s">
        <v>34</v>
      </c>
      <c r="F791" s="85" t="s">
        <v>188</v>
      </c>
      <c r="G791" s="90"/>
      <c r="H791" s="90">
        <v>9155.3</v>
      </c>
      <c r="I791" s="422">
        <v>8414.3</v>
      </c>
      <c r="J791" s="203"/>
      <c r="K791" s="433">
        <f t="shared" si="76"/>
        <v>91.90632748244187</v>
      </c>
    </row>
    <row r="792" spans="1:11" ht="24">
      <c r="A792" s="86" t="s">
        <v>220</v>
      </c>
      <c r="B792" s="82" t="s">
        <v>892</v>
      </c>
      <c r="C792" s="85" t="s">
        <v>141</v>
      </c>
      <c r="D792" s="85" t="s">
        <v>546</v>
      </c>
      <c r="E792" s="85" t="s">
        <v>936</v>
      </c>
      <c r="F792" s="85"/>
      <c r="G792" s="90">
        <f>G793</f>
        <v>165611</v>
      </c>
      <c r="H792" s="90">
        <f>H793</f>
        <v>312322.6</v>
      </c>
      <c r="I792" s="422">
        <f>I793</f>
        <v>312322.6</v>
      </c>
      <c r="J792" s="421" t="s">
        <v>1212</v>
      </c>
      <c r="K792" s="433">
        <f t="shared" si="76"/>
        <v>100</v>
      </c>
    </row>
    <row r="793" spans="1:11" ht="24">
      <c r="A793" s="92" t="s">
        <v>937</v>
      </c>
      <c r="B793" s="82" t="s">
        <v>892</v>
      </c>
      <c r="C793" s="85" t="s">
        <v>141</v>
      </c>
      <c r="D793" s="85" t="s">
        <v>546</v>
      </c>
      <c r="E793" s="85" t="s">
        <v>1049</v>
      </c>
      <c r="F793" s="85" t="s">
        <v>1071</v>
      </c>
      <c r="G793" s="90">
        <f>G794+G797+G800</f>
        <v>165611</v>
      </c>
      <c r="H793" s="90">
        <f>H794+H797+H800</f>
        <v>312322.6</v>
      </c>
      <c r="I793" s="422">
        <f>I794+I797+I800</f>
        <v>312322.6</v>
      </c>
      <c r="J793" s="421" t="s">
        <v>1212</v>
      </c>
      <c r="K793" s="433">
        <f t="shared" si="76"/>
        <v>100</v>
      </c>
    </row>
    <row r="794" spans="1:11" ht="24">
      <c r="A794" s="92" t="s">
        <v>1742</v>
      </c>
      <c r="B794" s="82" t="s">
        <v>892</v>
      </c>
      <c r="C794" s="85" t="s">
        <v>141</v>
      </c>
      <c r="D794" s="85" t="s">
        <v>546</v>
      </c>
      <c r="E794" s="85" t="s">
        <v>1049</v>
      </c>
      <c r="F794" s="85" t="s">
        <v>1879</v>
      </c>
      <c r="G794" s="90">
        <f>G795+G796</f>
        <v>165611</v>
      </c>
      <c r="H794" s="90">
        <f>H795+H796</f>
        <v>0</v>
      </c>
      <c r="I794" s="422">
        <f>I795+I796</f>
        <v>0</v>
      </c>
      <c r="J794" s="203">
        <f t="shared" si="75"/>
        <v>0</v>
      </c>
      <c r="K794" s="433"/>
    </row>
    <row r="795" spans="1:11" ht="24">
      <c r="A795" s="92" t="s">
        <v>105</v>
      </c>
      <c r="B795" s="82" t="s">
        <v>892</v>
      </c>
      <c r="C795" s="85" t="s">
        <v>141</v>
      </c>
      <c r="D795" s="85" t="s">
        <v>546</v>
      </c>
      <c r="E795" s="85" t="s">
        <v>1049</v>
      </c>
      <c r="F795" s="85" t="s">
        <v>1879</v>
      </c>
      <c r="G795" s="90">
        <v>141621</v>
      </c>
      <c r="H795" s="90"/>
      <c r="I795" s="422"/>
      <c r="J795" s="203">
        <f t="shared" si="75"/>
        <v>0</v>
      </c>
      <c r="K795" s="433"/>
    </row>
    <row r="796" spans="1:11" ht="24">
      <c r="A796" s="92" t="s">
        <v>1820</v>
      </c>
      <c r="B796" s="82" t="s">
        <v>892</v>
      </c>
      <c r="C796" s="85" t="s">
        <v>141</v>
      </c>
      <c r="D796" s="85" t="s">
        <v>546</v>
      </c>
      <c r="E796" s="85" t="s">
        <v>1049</v>
      </c>
      <c r="F796" s="85" t="s">
        <v>1879</v>
      </c>
      <c r="G796" s="90">
        <v>23990</v>
      </c>
      <c r="H796" s="90"/>
      <c r="I796" s="422"/>
      <c r="J796" s="203">
        <f t="shared" si="75"/>
        <v>0</v>
      </c>
      <c r="K796" s="433"/>
    </row>
    <row r="797" spans="1:11" ht="48">
      <c r="A797" s="87" t="s">
        <v>190</v>
      </c>
      <c r="B797" s="82" t="s">
        <v>892</v>
      </c>
      <c r="C797" s="85" t="s">
        <v>141</v>
      </c>
      <c r="D797" s="85" t="s">
        <v>546</v>
      </c>
      <c r="E797" s="85" t="s">
        <v>1049</v>
      </c>
      <c r="F797" s="85" t="s">
        <v>1409</v>
      </c>
      <c r="G797" s="90"/>
      <c r="H797" s="90">
        <v>266657.8</v>
      </c>
      <c r="I797" s="422">
        <v>266657.8</v>
      </c>
      <c r="J797" s="203"/>
      <c r="K797" s="433">
        <f t="shared" si="76"/>
        <v>100</v>
      </c>
    </row>
    <row r="798" spans="1:11" ht="24" hidden="1">
      <c r="A798" s="87" t="s">
        <v>191</v>
      </c>
      <c r="B798" s="82"/>
      <c r="C798" s="85" t="s">
        <v>141</v>
      </c>
      <c r="D798" s="85" t="s">
        <v>546</v>
      </c>
      <c r="E798" s="85" t="s">
        <v>1049</v>
      </c>
      <c r="F798" s="85" t="s">
        <v>192</v>
      </c>
      <c r="G798" s="90">
        <v>0</v>
      </c>
      <c r="H798" s="90">
        <v>0</v>
      </c>
      <c r="I798" s="422">
        <v>1</v>
      </c>
      <c r="J798" s="203"/>
      <c r="K798" s="433" t="e">
        <f t="shared" si="76"/>
        <v>#DIV/0!</v>
      </c>
    </row>
    <row r="799" spans="1:11" ht="48" hidden="1">
      <c r="A799" s="87" t="s">
        <v>193</v>
      </c>
      <c r="B799" s="82" t="s">
        <v>892</v>
      </c>
      <c r="C799" s="85" t="s">
        <v>141</v>
      </c>
      <c r="D799" s="85" t="s">
        <v>546</v>
      </c>
      <c r="E799" s="85" t="s">
        <v>1049</v>
      </c>
      <c r="F799" s="85" t="s">
        <v>192</v>
      </c>
      <c r="G799" s="90">
        <f>18990+5000-23990</f>
        <v>0</v>
      </c>
      <c r="H799" s="90">
        <f>18990+5000-23990</f>
        <v>0</v>
      </c>
      <c r="I799" s="422">
        <f>18990+5000-23990</f>
        <v>0</v>
      </c>
      <c r="J799" s="203"/>
      <c r="K799" s="433" t="e">
        <f t="shared" si="76"/>
        <v>#DIV/0!</v>
      </c>
    </row>
    <row r="800" spans="1:11" ht="24">
      <c r="A800" s="87" t="s">
        <v>191</v>
      </c>
      <c r="B800" s="82" t="s">
        <v>892</v>
      </c>
      <c r="C800" s="85" t="s">
        <v>141</v>
      </c>
      <c r="D800" s="85" t="s">
        <v>546</v>
      </c>
      <c r="E800" s="85" t="s">
        <v>194</v>
      </c>
      <c r="F800" s="85" t="s">
        <v>192</v>
      </c>
      <c r="G800" s="90">
        <f>G801+G802</f>
        <v>0</v>
      </c>
      <c r="H800" s="90">
        <f>H801+H802</f>
        <v>45664.799999999996</v>
      </c>
      <c r="I800" s="422">
        <f>I801+I802</f>
        <v>45664.799999999996</v>
      </c>
      <c r="J800" s="203"/>
      <c r="K800" s="433">
        <f t="shared" si="76"/>
        <v>100</v>
      </c>
    </row>
    <row r="801" spans="1:11" ht="48">
      <c r="A801" s="87" t="s">
        <v>195</v>
      </c>
      <c r="B801" s="82" t="s">
        <v>892</v>
      </c>
      <c r="C801" s="85" t="s">
        <v>141</v>
      </c>
      <c r="D801" s="85" t="s">
        <v>546</v>
      </c>
      <c r="E801" s="85" t="s">
        <v>194</v>
      </c>
      <c r="F801" s="85" t="s">
        <v>192</v>
      </c>
      <c r="G801" s="248"/>
      <c r="H801" s="248">
        <f>17944.2+19026.5</f>
        <v>36970.7</v>
      </c>
      <c r="I801" s="431">
        <v>36970.7</v>
      </c>
      <c r="J801" s="203"/>
      <c r="K801" s="433">
        <f t="shared" si="76"/>
        <v>100</v>
      </c>
    </row>
    <row r="802" spans="1:11" ht="72">
      <c r="A802" s="87" t="s">
        <v>196</v>
      </c>
      <c r="B802" s="82" t="s">
        <v>892</v>
      </c>
      <c r="C802" s="85" t="s">
        <v>141</v>
      </c>
      <c r="D802" s="85" t="s">
        <v>546</v>
      </c>
      <c r="E802" s="85" t="s">
        <v>194</v>
      </c>
      <c r="F802" s="85" t="s">
        <v>192</v>
      </c>
      <c r="G802" s="248"/>
      <c r="H802" s="248">
        <v>8694.1</v>
      </c>
      <c r="I802" s="431">
        <v>8694.1</v>
      </c>
      <c r="J802" s="203"/>
      <c r="K802" s="433">
        <f t="shared" si="76"/>
        <v>100</v>
      </c>
    </row>
    <row r="803" spans="1:11" ht="15.75" hidden="1">
      <c r="A803" s="86" t="s">
        <v>909</v>
      </c>
      <c r="B803" s="82" t="s">
        <v>892</v>
      </c>
      <c r="C803" s="85" t="s">
        <v>141</v>
      </c>
      <c r="D803" s="85" t="s">
        <v>546</v>
      </c>
      <c r="E803" s="85" t="s">
        <v>910</v>
      </c>
      <c r="F803" s="85"/>
      <c r="G803" s="90">
        <f aca="true" t="shared" si="77" ref="G803:I804">G804</f>
        <v>0</v>
      </c>
      <c r="H803" s="90">
        <f t="shared" si="77"/>
        <v>0</v>
      </c>
      <c r="I803" s="422">
        <f t="shared" si="77"/>
        <v>0</v>
      </c>
      <c r="J803" s="203" t="e">
        <f t="shared" si="75"/>
        <v>#DIV/0!</v>
      </c>
      <c r="K803" s="433" t="e">
        <f t="shared" si="76"/>
        <v>#DIV/0!</v>
      </c>
    </row>
    <row r="804" spans="1:11" ht="48.75" hidden="1">
      <c r="A804" s="111" t="s">
        <v>738</v>
      </c>
      <c r="B804" s="82" t="s">
        <v>892</v>
      </c>
      <c r="C804" s="85" t="s">
        <v>141</v>
      </c>
      <c r="D804" s="85" t="s">
        <v>546</v>
      </c>
      <c r="E804" s="85" t="s">
        <v>739</v>
      </c>
      <c r="F804" s="85" t="s">
        <v>1071</v>
      </c>
      <c r="G804" s="90">
        <f t="shared" si="77"/>
        <v>0</v>
      </c>
      <c r="H804" s="90">
        <f t="shared" si="77"/>
        <v>0</v>
      </c>
      <c r="I804" s="422">
        <f t="shared" si="77"/>
        <v>0</v>
      </c>
      <c r="J804" s="203" t="e">
        <f t="shared" si="75"/>
        <v>#DIV/0!</v>
      </c>
      <c r="K804" s="433" t="e">
        <f t="shared" si="76"/>
        <v>#DIV/0!</v>
      </c>
    </row>
    <row r="805" spans="1:11" ht="24">
      <c r="A805" s="87" t="s">
        <v>1836</v>
      </c>
      <c r="B805" s="82" t="s">
        <v>892</v>
      </c>
      <c r="C805" s="85" t="s">
        <v>141</v>
      </c>
      <c r="D805" s="85" t="s">
        <v>546</v>
      </c>
      <c r="E805" s="85" t="s">
        <v>739</v>
      </c>
      <c r="F805" s="85" t="s">
        <v>1837</v>
      </c>
      <c r="G805" s="90">
        <f>2342.4-2342.4</f>
        <v>0</v>
      </c>
      <c r="H805" s="90">
        <f>2342.4-2342.4</f>
        <v>0</v>
      </c>
      <c r="I805" s="422">
        <f>2342.4-2342.4</f>
        <v>0</v>
      </c>
      <c r="J805" s="203"/>
      <c r="K805" s="433"/>
    </row>
    <row r="806" spans="1:11" ht="15">
      <c r="A806" s="88" t="s">
        <v>1765</v>
      </c>
      <c r="B806" s="82" t="s">
        <v>892</v>
      </c>
      <c r="C806" s="85" t="s">
        <v>142</v>
      </c>
      <c r="D806" s="85"/>
      <c r="E806" s="85"/>
      <c r="F806" s="85"/>
      <c r="G806" s="90">
        <f aca="true" t="shared" si="78" ref="G806:I808">G807</f>
        <v>50</v>
      </c>
      <c r="H806" s="90">
        <f t="shared" si="78"/>
        <v>50</v>
      </c>
      <c r="I806" s="422">
        <f t="shared" si="78"/>
        <v>0</v>
      </c>
      <c r="J806" s="203">
        <f t="shared" si="75"/>
        <v>0</v>
      </c>
      <c r="K806" s="433">
        <f t="shared" si="76"/>
        <v>0</v>
      </c>
    </row>
    <row r="807" spans="1:11" ht="15">
      <c r="A807" s="91" t="s">
        <v>1542</v>
      </c>
      <c r="B807" s="82" t="s">
        <v>892</v>
      </c>
      <c r="C807" s="85" t="s">
        <v>142</v>
      </c>
      <c r="D807" s="85" t="s">
        <v>1603</v>
      </c>
      <c r="E807" s="85"/>
      <c r="F807" s="85"/>
      <c r="G807" s="90">
        <f t="shared" si="78"/>
        <v>50</v>
      </c>
      <c r="H807" s="90">
        <f t="shared" si="78"/>
        <v>50</v>
      </c>
      <c r="I807" s="422">
        <f t="shared" si="78"/>
        <v>0</v>
      </c>
      <c r="J807" s="203">
        <f t="shared" si="75"/>
        <v>0</v>
      </c>
      <c r="K807" s="433">
        <f t="shared" si="76"/>
        <v>0</v>
      </c>
    </row>
    <row r="808" spans="1:11" ht="24">
      <c r="A808" s="93" t="s">
        <v>1766</v>
      </c>
      <c r="B808" s="82" t="s">
        <v>892</v>
      </c>
      <c r="C808" s="85" t="s">
        <v>142</v>
      </c>
      <c r="D808" s="85" t="s">
        <v>1603</v>
      </c>
      <c r="E808" s="85" t="s">
        <v>1767</v>
      </c>
      <c r="F808" s="85"/>
      <c r="G808" s="90">
        <f t="shared" si="78"/>
        <v>50</v>
      </c>
      <c r="H808" s="90">
        <f t="shared" si="78"/>
        <v>50</v>
      </c>
      <c r="I808" s="422">
        <f t="shared" si="78"/>
        <v>0</v>
      </c>
      <c r="J808" s="203">
        <f t="shared" si="75"/>
        <v>0</v>
      </c>
      <c r="K808" s="433">
        <f t="shared" si="76"/>
        <v>0</v>
      </c>
    </row>
    <row r="809" spans="1:11" ht="24">
      <c r="A809" s="87" t="s">
        <v>1768</v>
      </c>
      <c r="B809" s="82" t="s">
        <v>892</v>
      </c>
      <c r="C809" s="85" t="s">
        <v>142</v>
      </c>
      <c r="D809" s="85" t="s">
        <v>1603</v>
      </c>
      <c r="E809" s="85" t="s">
        <v>1769</v>
      </c>
      <c r="F809" s="85" t="s">
        <v>1071</v>
      </c>
      <c r="G809" s="90">
        <f>G810+G811</f>
        <v>50</v>
      </c>
      <c r="H809" s="90">
        <f>H810+H811</f>
        <v>50</v>
      </c>
      <c r="I809" s="422">
        <f>I810+I811</f>
        <v>0</v>
      </c>
      <c r="J809" s="203">
        <f t="shared" si="75"/>
        <v>0</v>
      </c>
      <c r="K809" s="433">
        <f t="shared" si="76"/>
        <v>0</v>
      </c>
    </row>
    <row r="810" spans="1:11" ht="24">
      <c r="A810" s="87" t="s">
        <v>1729</v>
      </c>
      <c r="B810" s="82" t="s">
        <v>892</v>
      </c>
      <c r="C810" s="85" t="s">
        <v>142</v>
      </c>
      <c r="D810" s="85" t="s">
        <v>1603</v>
      </c>
      <c r="E810" s="85" t="s">
        <v>1769</v>
      </c>
      <c r="F810" s="85" t="s">
        <v>1837</v>
      </c>
      <c r="G810" s="90"/>
      <c r="H810" s="90">
        <v>50</v>
      </c>
      <c r="I810" s="422"/>
      <c r="J810" s="203"/>
      <c r="K810" s="433"/>
    </row>
    <row r="811" spans="1:11" ht="24">
      <c r="A811" s="358" t="s">
        <v>171</v>
      </c>
      <c r="B811" s="82" t="s">
        <v>892</v>
      </c>
      <c r="C811" s="85" t="s">
        <v>142</v>
      </c>
      <c r="D811" s="85" t="s">
        <v>1603</v>
      </c>
      <c r="E811" s="85" t="s">
        <v>1769</v>
      </c>
      <c r="F811" s="85" t="s">
        <v>436</v>
      </c>
      <c r="G811" s="90">
        <v>50</v>
      </c>
      <c r="H811" s="90"/>
      <c r="I811" s="422"/>
      <c r="J811" s="203"/>
      <c r="K811" s="433"/>
    </row>
    <row r="812" spans="1:11" ht="25.5">
      <c r="A812" s="88" t="s">
        <v>1770</v>
      </c>
      <c r="B812" s="82" t="s">
        <v>892</v>
      </c>
      <c r="C812" s="109" t="s">
        <v>1598</v>
      </c>
      <c r="D812" s="109"/>
      <c r="E812" s="109"/>
      <c r="F812" s="109"/>
      <c r="G812" s="90">
        <f>G813+G816+G831+G841+G845</f>
        <v>3060</v>
      </c>
      <c r="H812" s="90">
        <f>H813+H816+H831+H841+H845</f>
        <v>7060</v>
      </c>
      <c r="I812" s="422">
        <f>I813+I816+I831+I841+I845</f>
        <v>3943.7</v>
      </c>
      <c r="J812" s="203">
        <f t="shared" si="75"/>
        <v>128.87908496732027</v>
      </c>
      <c r="K812" s="433">
        <f t="shared" si="76"/>
        <v>55.859773371104815</v>
      </c>
    </row>
    <row r="813" spans="1:11" ht="15.75" hidden="1">
      <c r="A813" s="91" t="s">
        <v>1545</v>
      </c>
      <c r="B813" s="82" t="s">
        <v>893</v>
      </c>
      <c r="C813" s="85" t="s">
        <v>1598</v>
      </c>
      <c r="D813" s="85" t="s">
        <v>142</v>
      </c>
      <c r="E813" s="85"/>
      <c r="F813" s="85"/>
      <c r="G813" s="90">
        <f>G815</f>
        <v>0</v>
      </c>
      <c r="H813" s="90">
        <f>H815</f>
        <v>0</v>
      </c>
      <c r="I813" s="422">
        <f>I815</f>
        <v>0</v>
      </c>
      <c r="J813" s="203" t="e">
        <f t="shared" si="75"/>
        <v>#DIV/0!</v>
      </c>
      <c r="K813" s="433" t="e">
        <f t="shared" si="76"/>
        <v>#DIV/0!</v>
      </c>
    </row>
    <row r="814" spans="1:11" ht="15.75" hidden="1">
      <c r="A814" s="93" t="s">
        <v>1771</v>
      </c>
      <c r="B814" s="82" t="s">
        <v>926</v>
      </c>
      <c r="C814" s="85" t="s">
        <v>1598</v>
      </c>
      <c r="D814" s="85" t="s">
        <v>142</v>
      </c>
      <c r="E814" s="85" t="s">
        <v>1772</v>
      </c>
      <c r="F814" s="85"/>
      <c r="G814" s="90">
        <f>SUM(G815)</f>
        <v>0</v>
      </c>
      <c r="H814" s="90">
        <f>SUM(H815)</f>
        <v>0</v>
      </c>
      <c r="I814" s="422">
        <f>SUM(I815)</f>
        <v>0</v>
      </c>
      <c r="J814" s="203" t="e">
        <f t="shared" si="75"/>
        <v>#DIV/0!</v>
      </c>
      <c r="K814" s="433" t="e">
        <f t="shared" si="76"/>
        <v>#DIV/0!</v>
      </c>
    </row>
    <row r="815" spans="1:11" ht="15.75" hidden="1">
      <c r="A815" s="87" t="s">
        <v>1271</v>
      </c>
      <c r="B815" s="82" t="s">
        <v>894</v>
      </c>
      <c r="C815" s="85" t="s">
        <v>1598</v>
      </c>
      <c r="D815" s="85" t="s">
        <v>142</v>
      </c>
      <c r="E815" s="85" t="s">
        <v>1772</v>
      </c>
      <c r="F815" s="85" t="s">
        <v>1837</v>
      </c>
      <c r="G815" s="90"/>
      <c r="H815" s="90"/>
      <c r="I815" s="422"/>
      <c r="J815" s="203" t="e">
        <f t="shared" si="75"/>
        <v>#DIV/0!</v>
      </c>
      <c r="K815" s="433" t="e">
        <f t="shared" si="76"/>
        <v>#DIV/0!</v>
      </c>
    </row>
    <row r="816" spans="1:11" ht="15.75" hidden="1">
      <c r="A816" s="91" t="s">
        <v>1545</v>
      </c>
      <c r="B816" s="82" t="s">
        <v>892</v>
      </c>
      <c r="C816" s="85" t="s">
        <v>1598</v>
      </c>
      <c r="D816" s="85" t="s">
        <v>142</v>
      </c>
      <c r="E816" s="85"/>
      <c r="F816" s="85"/>
      <c r="G816" s="90">
        <f>G817</f>
        <v>0</v>
      </c>
      <c r="H816" s="90">
        <f>H817</f>
        <v>0</v>
      </c>
      <c r="I816" s="422">
        <f>I817</f>
        <v>0</v>
      </c>
      <c r="J816" s="203" t="e">
        <f t="shared" si="75"/>
        <v>#DIV/0!</v>
      </c>
      <c r="K816" s="433" t="e">
        <f t="shared" si="76"/>
        <v>#DIV/0!</v>
      </c>
    </row>
    <row r="817" spans="1:11" ht="15.75" hidden="1">
      <c r="A817" s="93" t="s">
        <v>1771</v>
      </c>
      <c r="B817" s="82" t="s">
        <v>892</v>
      </c>
      <c r="C817" s="85" t="s">
        <v>1598</v>
      </c>
      <c r="D817" s="85" t="s">
        <v>142</v>
      </c>
      <c r="E817" s="85" t="s">
        <v>1772</v>
      </c>
      <c r="F817" s="85"/>
      <c r="G817" s="90">
        <f>G818+G820+G823+G827+G828</f>
        <v>0</v>
      </c>
      <c r="H817" s="90">
        <f>H818+H820+H823+H827+H828</f>
        <v>0</v>
      </c>
      <c r="I817" s="422">
        <f>I818+I820+I823+I827+I828</f>
        <v>0</v>
      </c>
      <c r="J817" s="203" t="e">
        <f t="shared" si="75"/>
        <v>#DIV/0!</v>
      </c>
      <c r="K817" s="433" t="e">
        <f t="shared" si="76"/>
        <v>#DIV/0!</v>
      </c>
    </row>
    <row r="818" spans="1:11" ht="48" hidden="1">
      <c r="A818" s="87" t="s">
        <v>1773</v>
      </c>
      <c r="B818" s="82" t="s">
        <v>892</v>
      </c>
      <c r="C818" s="85" t="s">
        <v>1598</v>
      </c>
      <c r="D818" s="85" t="s">
        <v>142</v>
      </c>
      <c r="E818" s="85" t="s">
        <v>1774</v>
      </c>
      <c r="F818" s="85" t="s">
        <v>1071</v>
      </c>
      <c r="G818" s="90">
        <f>G819</f>
        <v>0</v>
      </c>
      <c r="H818" s="90">
        <f>H819</f>
        <v>0</v>
      </c>
      <c r="I818" s="422">
        <f>I819</f>
        <v>0</v>
      </c>
      <c r="J818" s="203" t="e">
        <f t="shared" si="75"/>
        <v>#DIV/0!</v>
      </c>
      <c r="K818" s="433" t="e">
        <f t="shared" si="76"/>
        <v>#DIV/0!</v>
      </c>
    </row>
    <row r="819" spans="1:11" ht="24" hidden="1">
      <c r="A819" s="92" t="s">
        <v>1779</v>
      </c>
      <c r="B819" s="82" t="s">
        <v>892</v>
      </c>
      <c r="C819" s="85" t="s">
        <v>1598</v>
      </c>
      <c r="D819" s="85" t="s">
        <v>142</v>
      </c>
      <c r="E819" s="85" t="s">
        <v>1774</v>
      </c>
      <c r="F819" s="85" t="s">
        <v>1776</v>
      </c>
      <c r="G819" s="90"/>
      <c r="H819" s="90"/>
      <c r="I819" s="422"/>
      <c r="J819" s="203" t="e">
        <f t="shared" si="75"/>
        <v>#DIV/0!</v>
      </c>
      <c r="K819" s="433" t="e">
        <f t="shared" si="76"/>
        <v>#DIV/0!</v>
      </c>
    </row>
    <row r="820" spans="1:11" ht="15.75" hidden="1">
      <c r="A820" s="92" t="s">
        <v>1777</v>
      </c>
      <c r="B820" s="82" t="s">
        <v>892</v>
      </c>
      <c r="C820" s="85" t="s">
        <v>1598</v>
      </c>
      <c r="D820" s="85" t="s">
        <v>142</v>
      </c>
      <c r="E820" s="85" t="s">
        <v>1778</v>
      </c>
      <c r="F820" s="85" t="s">
        <v>1071</v>
      </c>
      <c r="G820" s="90">
        <f>G821+G822</f>
        <v>0</v>
      </c>
      <c r="H820" s="90">
        <f>H821+H822</f>
        <v>0</v>
      </c>
      <c r="I820" s="422">
        <f>I821+I822</f>
        <v>0</v>
      </c>
      <c r="J820" s="203" t="e">
        <f t="shared" si="75"/>
        <v>#DIV/0!</v>
      </c>
      <c r="K820" s="433" t="e">
        <f t="shared" si="76"/>
        <v>#DIV/0!</v>
      </c>
    </row>
    <row r="821" spans="1:11" ht="24" hidden="1">
      <c r="A821" s="92" t="s">
        <v>1779</v>
      </c>
      <c r="B821" s="82" t="s">
        <v>892</v>
      </c>
      <c r="C821" s="85" t="s">
        <v>1598</v>
      </c>
      <c r="D821" s="85" t="s">
        <v>142</v>
      </c>
      <c r="E821" s="85" t="s">
        <v>1778</v>
      </c>
      <c r="F821" s="85" t="s">
        <v>1776</v>
      </c>
      <c r="G821" s="90"/>
      <c r="H821" s="90"/>
      <c r="I821" s="422"/>
      <c r="J821" s="203" t="e">
        <f t="shared" si="75"/>
        <v>#DIV/0!</v>
      </c>
      <c r="K821" s="433" t="e">
        <f t="shared" si="76"/>
        <v>#DIV/0!</v>
      </c>
    </row>
    <row r="822" spans="1:11" ht="15.75" hidden="1">
      <c r="A822" s="92" t="s">
        <v>1785</v>
      </c>
      <c r="B822" s="82" t="s">
        <v>892</v>
      </c>
      <c r="C822" s="85" t="s">
        <v>1598</v>
      </c>
      <c r="D822" s="85" t="s">
        <v>142</v>
      </c>
      <c r="E822" s="85" t="s">
        <v>895</v>
      </c>
      <c r="F822" s="85" t="s">
        <v>1776</v>
      </c>
      <c r="G822" s="90">
        <v>0</v>
      </c>
      <c r="H822" s="90">
        <v>0</v>
      </c>
      <c r="I822" s="422"/>
      <c r="J822" s="203" t="e">
        <f t="shared" si="75"/>
        <v>#DIV/0!</v>
      </c>
      <c r="K822" s="433" t="e">
        <f t="shared" si="76"/>
        <v>#DIV/0!</v>
      </c>
    </row>
    <row r="823" spans="1:11" ht="15.75" hidden="1">
      <c r="A823" s="369" t="s">
        <v>896</v>
      </c>
      <c r="B823" s="82" t="s">
        <v>892</v>
      </c>
      <c r="C823" s="85" t="s">
        <v>1598</v>
      </c>
      <c r="D823" s="85" t="s">
        <v>142</v>
      </c>
      <c r="E823" s="85" t="s">
        <v>1780</v>
      </c>
      <c r="F823" s="85"/>
      <c r="G823" s="90">
        <f>G824+G825</f>
        <v>0</v>
      </c>
      <c r="H823" s="90">
        <f>H824+H825</f>
        <v>0</v>
      </c>
      <c r="I823" s="422">
        <f>I824+I825</f>
        <v>0</v>
      </c>
      <c r="J823" s="203" t="e">
        <f t="shared" si="75"/>
        <v>#DIV/0!</v>
      </c>
      <c r="K823" s="433" t="e">
        <f t="shared" si="76"/>
        <v>#DIV/0!</v>
      </c>
    </row>
    <row r="824" spans="1:11" ht="24" hidden="1">
      <c r="A824" s="92" t="s">
        <v>1779</v>
      </c>
      <c r="B824" s="82" t="s">
        <v>892</v>
      </c>
      <c r="C824" s="85" t="s">
        <v>1598</v>
      </c>
      <c r="D824" s="85" t="s">
        <v>142</v>
      </c>
      <c r="E824" s="85" t="s">
        <v>1780</v>
      </c>
      <c r="F824" s="85" t="s">
        <v>1776</v>
      </c>
      <c r="G824" s="90"/>
      <c r="H824" s="90"/>
      <c r="I824" s="422"/>
      <c r="J824" s="203" t="e">
        <f t="shared" si="75"/>
        <v>#DIV/0!</v>
      </c>
      <c r="K824" s="433" t="e">
        <f t="shared" si="76"/>
        <v>#DIV/0!</v>
      </c>
    </row>
    <row r="825" spans="1:11" ht="15.75" hidden="1">
      <c r="A825" s="92" t="s">
        <v>1785</v>
      </c>
      <c r="B825" s="82" t="s">
        <v>892</v>
      </c>
      <c r="C825" s="85" t="s">
        <v>1598</v>
      </c>
      <c r="D825" s="85" t="s">
        <v>142</v>
      </c>
      <c r="E825" s="85" t="s">
        <v>897</v>
      </c>
      <c r="F825" s="85" t="s">
        <v>1776</v>
      </c>
      <c r="G825" s="90">
        <v>0</v>
      </c>
      <c r="H825" s="90">
        <v>0</v>
      </c>
      <c r="I825" s="422"/>
      <c r="J825" s="203" t="e">
        <f t="shared" si="75"/>
        <v>#DIV/0!</v>
      </c>
      <c r="K825" s="433" t="e">
        <f t="shared" si="76"/>
        <v>#DIV/0!</v>
      </c>
    </row>
    <row r="826" spans="1:11" ht="15.75" hidden="1">
      <c r="A826" s="92" t="s">
        <v>1781</v>
      </c>
      <c r="B826" s="82" t="s">
        <v>892</v>
      </c>
      <c r="C826" s="85" t="s">
        <v>1598</v>
      </c>
      <c r="D826" s="85" t="s">
        <v>142</v>
      </c>
      <c r="E826" s="85" t="s">
        <v>1782</v>
      </c>
      <c r="F826" s="85"/>
      <c r="G826" s="90">
        <f>G827</f>
        <v>0</v>
      </c>
      <c r="H826" s="90">
        <f>H827</f>
        <v>0</v>
      </c>
      <c r="I826" s="422">
        <f>I827</f>
        <v>0</v>
      </c>
      <c r="J826" s="203" t="e">
        <f t="shared" si="75"/>
        <v>#DIV/0!</v>
      </c>
      <c r="K826" s="433" t="e">
        <f t="shared" si="76"/>
        <v>#DIV/0!</v>
      </c>
    </row>
    <row r="827" spans="1:11" ht="24" hidden="1">
      <c r="A827" s="92" t="s">
        <v>1779</v>
      </c>
      <c r="B827" s="82" t="s">
        <v>892</v>
      </c>
      <c r="C827" s="85" t="s">
        <v>1598</v>
      </c>
      <c r="D827" s="85" t="s">
        <v>142</v>
      </c>
      <c r="E827" s="85" t="s">
        <v>1782</v>
      </c>
      <c r="F827" s="85" t="s">
        <v>1776</v>
      </c>
      <c r="G827" s="90"/>
      <c r="H827" s="90"/>
      <c r="I827" s="422"/>
      <c r="J827" s="203" t="e">
        <f t="shared" si="75"/>
        <v>#DIV/0!</v>
      </c>
      <c r="K827" s="433" t="e">
        <f t="shared" si="76"/>
        <v>#DIV/0!</v>
      </c>
    </row>
    <row r="828" spans="1:11" ht="24" hidden="1">
      <c r="A828" s="87" t="s">
        <v>1783</v>
      </c>
      <c r="B828" s="82" t="s">
        <v>892</v>
      </c>
      <c r="C828" s="85" t="s">
        <v>1598</v>
      </c>
      <c r="D828" s="85" t="s">
        <v>142</v>
      </c>
      <c r="E828" s="85" t="s">
        <v>1784</v>
      </c>
      <c r="F828" s="85"/>
      <c r="G828" s="90">
        <f>G830</f>
        <v>0</v>
      </c>
      <c r="H828" s="90">
        <f>H830</f>
        <v>0</v>
      </c>
      <c r="I828" s="422">
        <f>I830</f>
        <v>0</v>
      </c>
      <c r="J828" s="203" t="e">
        <f aca="true" t="shared" si="79" ref="J828:J891">I828/G828*100</f>
        <v>#DIV/0!</v>
      </c>
      <c r="K828" s="433" t="e">
        <f aca="true" t="shared" si="80" ref="K828:K891">I828/H828*100</f>
        <v>#DIV/0!</v>
      </c>
    </row>
    <row r="829" spans="1:11" ht="15.75" hidden="1">
      <c r="A829" s="92" t="s">
        <v>1785</v>
      </c>
      <c r="B829" s="82" t="s">
        <v>892</v>
      </c>
      <c r="C829" s="85" t="s">
        <v>1598</v>
      </c>
      <c r="D829" s="85" t="s">
        <v>142</v>
      </c>
      <c r="E829" s="85" t="s">
        <v>1784</v>
      </c>
      <c r="F829" s="85" t="s">
        <v>1071</v>
      </c>
      <c r="G829" s="90">
        <f>G830</f>
        <v>0</v>
      </c>
      <c r="H829" s="90">
        <f>H830</f>
        <v>0</v>
      </c>
      <c r="I829" s="422">
        <f>I830</f>
        <v>0</v>
      </c>
      <c r="J829" s="203" t="e">
        <f t="shared" si="79"/>
        <v>#DIV/0!</v>
      </c>
      <c r="K829" s="433" t="e">
        <f t="shared" si="80"/>
        <v>#DIV/0!</v>
      </c>
    </row>
    <row r="830" spans="1:11" ht="15.75" hidden="1">
      <c r="A830" s="87" t="s">
        <v>1786</v>
      </c>
      <c r="B830" s="82" t="s">
        <v>892</v>
      </c>
      <c r="C830" s="85" t="s">
        <v>1598</v>
      </c>
      <c r="D830" s="85" t="s">
        <v>142</v>
      </c>
      <c r="E830" s="85" t="s">
        <v>1784</v>
      </c>
      <c r="F830" s="85" t="s">
        <v>1880</v>
      </c>
      <c r="G830" s="90"/>
      <c r="H830" s="90"/>
      <c r="I830" s="422"/>
      <c r="J830" s="203" t="e">
        <f t="shared" si="79"/>
        <v>#DIV/0!</v>
      </c>
      <c r="K830" s="433" t="e">
        <f t="shared" si="80"/>
        <v>#DIV/0!</v>
      </c>
    </row>
    <row r="831" spans="1:11" ht="36">
      <c r="A831" s="91" t="s">
        <v>898</v>
      </c>
      <c r="B831" s="82" t="s">
        <v>892</v>
      </c>
      <c r="C831" s="109" t="s">
        <v>1598</v>
      </c>
      <c r="D831" s="85" t="s">
        <v>1788</v>
      </c>
      <c r="E831" s="85"/>
      <c r="F831" s="85"/>
      <c r="G831" s="90">
        <f>G832+G836</f>
        <v>1200</v>
      </c>
      <c r="H831" s="90">
        <f>H832+H836</f>
        <v>1200</v>
      </c>
      <c r="I831" s="422">
        <f>I832+I836</f>
        <v>630</v>
      </c>
      <c r="J831" s="203">
        <f t="shared" si="79"/>
        <v>52.5</v>
      </c>
      <c r="K831" s="433">
        <f t="shared" si="80"/>
        <v>52.5</v>
      </c>
    </row>
    <row r="832" spans="1:11" ht="24">
      <c r="A832" s="93" t="s">
        <v>1789</v>
      </c>
      <c r="B832" s="82" t="s">
        <v>892</v>
      </c>
      <c r="C832" s="85" t="s">
        <v>1598</v>
      </c>
      <c r="D832" s="85" t="s">
        <v>1788</v>
      </c>
      <c r="E832" s="85" t="s">
        <v>1790</v>
      </c>
      <c r="F832" s="85"/>
      <c r="G832" s="90">
        <f>G833</f>
        <v>100</v>
      </c>
      <c r="H832" s="90">
        <f>H833</f>
        <v>100</v>
      </c>
      <c r="I832" s="422">
        <f>I833</f>
        <v>0</v>
      </c>
      <c r="J832" s="203">
        <f t="shared" si="79"/>
        <v>0</v>
      </c>
      <c r="K832" s="433">
        <f t="shared" si="80"/>
        <v>0</v>
      </c>
    </row>
    <row r="833" spans="1:11" ht="36">
      <c r="A833" s="87" t="s">
        <v>1791</v>
      </c>
      <c r="B833" s="82" t="s">
        <v>892</v>
      </c>
      <c r="C833" s="85" t="s">
        <v>1598</v>
      </c>
      <c r="D833" s="85" t="s">
        <v>1788</v>
      </c>
      <c r="E833" s="85" t="s">
        <v>35</v>
      </c>
      <c r="F833" s="85" t="s">
        <v>1071</v>
      </c>
      <c r="G833" s="90">
        <f>G834+G835</f>
        <v>100</v>
      </c>
      <c r="H833" s="90">
        <f>H834+H835</f>
        <v>100</v>
      </c>
      <c r="I833" s="422">
        <f>I834+I835</f>
        <v>0</v>
      </c>
      <c r="J833" s="203">
        <f t="shared" si="79"/>
        <v>0</v>
      </c>
      <c r="K833" s="433">
        <f t="shared" si="80"/>
        <v>0</v>
      </c>
    </row>
    <row r="834" spans="1:11" ht="24">
      <c r="A834" s="87" t="s">
        <v>1836</v>
      </c>
      <c r="B834" s="82" t="s">
        <v>892</v>
      </c>
      <c r="C834" s="85" t="s">
        <v>1598</v>
      </c>
      <c r="D834" s="85" t="s">
        <v>1788</v>
      </c>
      <c r="E834" s="85" t="s">
        <v>35</v>
      </c>
      <c r="F834" s="85" t="s">
        <v>1837</v>
      </c>
      <c r="G834" s="90"/>
      <c r="H834" s="90">
        <v>100</v>
      </c>
      <c r="I834" s="422"/>
      <c r="J834" s="203"/>
      <c r="K834" s="433">
        <f t="shared" si="80"/>
        <v>0</v>
      </c>
    </row>
    <row r="835" spans="1:11" ht="24">
      <c r="A835" s="358" t="s">
        <v>171</v>
      </c>
      <c r="B835" s="82" t="s">
        <v>892</v>
      </c>
      <c r="C835" s="85" t="s">
        <v>1598</v>
      </c>
      <c r="D835" s="85" t="s">
        <v>1788</v>
      </c>
      <c r="E835" s="85" t="s">
        <v>35</v>
      </c>
      <c r="F835" s="85" t="s">
        <v>436</v>
      </c>
      <c r="G835" s="90">
        <v>100</v>
      </c>
      <c r="H835" s="90"/>
      <c r="I835" s="422"/>
      <c r="J835" s="203">
        <f t="shared" si="79"/>
        <v>0</v>
      </c>
      <c r="K835" s="433"/>
    </row>
    <row r="836" spans="1:11" ht="24">
      <c r="A836" s="93" t="s">
        <v>1792</v>
      </c>
      <c r="B836" s="82" t="s">
        <v>892</v>
      </c>
      <c r="C836" s="109" t="s">
        <v>1598</v>
      </c>
      <c r="D836" s="85" t="s">
        <v>1788</v>
      </c>
      <c r="E836" s="85" t="s">
        <v>1793</v>
      </c>
      <c r="F836" s="85"/>
      <c r="G836" s="90">
        <f>G837</f>
        <v>1100</v>
      </c>
      <c r="H836" s="90">
        <f>H837</f>
        <v>1100</v>
      </c>
      <c r="I836" s="422">
        <f>I837</f>
        <v>630</v>
      </c>
      <c r="J836" s="203">
        <f t="shared" si="79"/>
        <v>57.27272727272727</v>
      </c>
      <c r="K836" s="433">
        <f t="shared" si="80"/>
        <v>57.27272727272727</v>
      </c>
    </row>
    <row r="837" spans="1:11" ht="24">
      <c r="A837" s="87" t="s">
        <v>1794</v>
      </c>
      <c r="B837" s="82" t="s">
        <v>892</v>
      </c>
      <c r="C837" s="109" t="s">
        <v>1598</v>
      </c>
      <c r="D837" s="85" t="s">
        <v>1788</v>
      </c>
      <c r="E837" s="85" t="s">
        <v>36</v>
      </c>
      <c r="F837" s="85" t="s">
        <v>1071</v>
      </c>
      <c r="G837" s="90">
        <f>G838+G839+G840</f>
        <v>1100</v>
      </c>
      <c r="H837" s="90">
        <f>H838+H839+H840</f>
        <v>1100</v>
      </c>
      <c r="I837" s="422">
        <f>I838+I839+I840</f>
        <v>630</v>
      </c>
      <c r="J837" s="203">
        <f t="shared" si="79"/>
        <v>57.27272727272727</v>
      </c>
      <c r="K837" s="433">
        <f t="shared" si="80"/>
        <v>57.27272727272727</v>
      </c>
    </row>
    <row r="838" spans="1:11" ht="24">
      <c r="A838" s="87" t="s">
        <v>1836</v>
      </c>
      <c r="B838" s="82" t="s">
        <v>892</v>
      </c>
      <c r="C838" s="109" t="s">
        <v>1598</v>
      </c>
      <c r="D838" s="85" t="s">
        <v>1788</v>
      </c>
      <c r="E838" s="85" t="s">
        <v>36</v>
      </c>
      <c r="F838" s="85" t="s">
        <v>1837</v>
      </c>
      <c r="G838" s="90"/>
      <c r="H838" s="90">
        <v>350</v>
      </c>
      <c r="I838" s="422">
        <v>175</v>
      </c>
      <c r="J838" s="203"/>
      <c r="K838" s="433">
        <f t="shared" si="80"/>
        <v>50</v>
      </c>
    </row>
    <row r="839" spans="1:11" ht="24">
      <c r="A839" s="358" t="s">
        <v>171</v>
      </c>
      <c r="B839" s="82" t="s">
        <v>892</v>
      </c>
      <c r="C839" s="109" t="s">
        <v>1598</v>
      </c>
      <c r="D839" s="85" t="s">
        <v>1788</v>
      </c>
      <c r="E839" s="85" t="s">
        <v>36</v>
      </c>
      <c r="F839" s="85" t="s">
        <v>436</v>
      </c>
      <c r="G839" s="90">
        <v>1100</v>
      </c>
      <c r="H839" s="90"/>
      <c r="I839" s="422"/>
      <c r="J839" s="203">
        <f t="shared" si="79"/>
        <v>0</v>
      </c>
      <c r="K839" s="433"/>
    </row>
    <row r="840" spans="1:11" ht="24">
      <c r="A840" s="92" t="s">
        <v>187</v>
      </c>
      <c r="B840" s="82" t="s">
        <v>892</v>
      </c>
      <c r="C840" s="109" t="s">
        <v>1598</v>
      </c>
      <c r="D840" s="85" t="s">
        <v>1788</v>
      </c>
      <c r="E840" s="85" t="s">
        <v>36</v>
      </c>
      <c r="F840" s="85" t="s">
        <v>188</v>
      </c>
      <c r="G840" s="90"/>
      <c r="H840" s="90">
        <v>750</v>
      </c>
      <c r="I840" s="422">
        <v>455</v>
      </c>
      <c r="J840" s="203"/>
      <c r="K840" s="433">
        <f t="shared" si="80"/>
        <v>60.66666666666667</v>
      </c>
    </row>
    <row r="841" spans="1:11" ht="15.75" hidden="1">
      <c r="A841" s="91" t="s">
        <v>261</v>
      </c>
      <c r="B841" s="82" t="s">
        <v>892</v>
      </c>
      <c r="C841" s="85" t="s">
        <v>1598</v>
      </c>
      <c r="D841" s="85" t="s">
        <v>1795</v>
      </c>
      <c r="E841" s="85"/>
      <c r="F841" s="85"/>
      <c r="G841" s="90">
        <f aca="true" t="shared" si="81" ref="G841:I842">G842</f>
        <v>0</v>
      </c>
      <c r="H841" s="90">
        <f t="shared" si="81"/>
        <v>0</v>
      </c>
      <c r="I841" s="422">
        <f t="shared" si="81"/>
        <v>0</v>
      </c>
      <c r="J841" s="203" t="e">
        <f t="shared" si="79"/>
        <v>#DIV/0!</v>
      </c>
      <c r="K841" s="433" t="e">
        <f t="shared" si="80"/>
        <v>#DIV/0!</v>
      </c>
    </row>
    <row r="842" spans="1:11" ht="24" hidden="1">
      <c r="A842" s="93" t="s">
        <v>906</v>
      </c>
      <c r="B842" s="82" t="s">
        <v>892</v>
      </c>
      <c r="C842" s="85" t="s">
        <v>1598</v>
      </c>
      <c r="D842" s="85" t="s">
        <v>1795</v>
      </c>
      <c r="E842" s="85" t="s">
        <v>907</v>
      </c>
      <c r="F842" s="85"/>
      <c r="G842" s="90">
        <f t="shared" si="81"/>
        <v>0</v>
      </c>
      <c r="H842" s="90">
        <f t="shared" si="81"/>
        <v>0</v>
      </c>
      <c r="I842" s="422">
        <f t="shared" si="81"/>
        <v>0</v>
      </c>
      <c r="J842" s="203" t="e">
        <f t="shared" si="79"/>
        <v>#DIV/0!</v>
      </c>
      <c r="K842" s="433" t="e">
        <f t="shared" si="80"/>
        <v>#DIV/0!</v>
      </c>
    </row>
    <row r="843" spans="1:11" ht="15.75" hidden="1">
      <c r="A843" s="87" t="s">
        <v>661</v>
      </c>
      <c r="B843" s="82" t="s">
        <v>892</v>
      </c>
      <c r="C843" s="85" t="s">
        <v>1598</v>
      </c>
      <c r="D843" s="85" t="s">
        <v>1795</v>
      </c>
      <c r="E843" s="85" t="s">
        <v>908</v>
      </c>
      <c r="F843" s="85" t="s">
        <v>1071</v>
      </c>
      <c r="G843" s="90"/>
      <c r="H843" s="90"/>
      <c r="I843" s="422"/>
      <c r="J843" s="203" t="e">
        <f t="shared" si="79"/>
        <v>#DIV/0!</v>
      </c>
      <c r="K843" s="433" t="e">
        <f t="shared" si="80"/>
        <v>#DIV/0!</v>
      </c>
    </row>
    <row r="844" spans="1:11" ht="15.75" hidden="1">
      <c r="A844" s="87" t="s">
        <v>1758</v>
      </c>
      <c r="B844" s="82" t="s">
        <v>892</v>
      </c>
      <c r="C844" s="85" t="s">
        <v>1598</v>
      </c>
      <c r="D844" s="85" t="s">
        <v>1795</v>
      </c>
      <c r="E844" s="85" t="s">
        <v>908</v>
      </c>
      <c r="F844" s="85" t="s">
        <v>1878</v>
      </c>
      <c r="G844" s="90"/>
      <c r="H844" s="90"/>
      <c r="I844" s="422"/>
      <c r="J844" s="203" t="e">
        <f t="shared" si="79"/>
        <v>#DIV/0!</v>
      </c>
      <c r="K844" s="433" t="e">
        <f t="shared" si="80"/>
        <v>#DIV/0!</v>
      </c>
    </row>
    <row r="845" spans="1:11" ht="24">
      <c r="A845" s="106" t="s">
        <v>597</v>
      </c>
      <c r="B845" s="82" t="s">
        <v>892</v>
      </c>
      <c r="C845" s="85" t="s">
        <v>1598</v>
      </c>
      <c r="D845" s="85" t="s">
        <v>1764</v>
      </c>
      <c r="E845" s="281"/>
      <c r="F845" s="85"/>
      <c r="G845" s="90">
        <f>G846+G849</f>
        <v>1860</v>
      </c>
      <c r="H845" s="90">
        <f>H846+H849</f>
        <v>5860</v>
      </c>
      <c r="I845" s="422">
        <f>I846+I849</f>
        <v>3313.7</v>
      </c>
      <c r="J845" s="203">
        <f t="shared" si="79"/>
        <v>178.15591397849462</v>
      </c>
      <c r="K845" s="433">
        <f t="shared" si="80"/>
        <v>56.54778156996587</v>
      </c>
    </row>
    <row r="846" spans="1:11" ht="24">
      <c r="A846" s="93" t="s">
        <v>906</v>
      </c>
      <c r="B846" s="82" t="s">
        <v>892</v>
      </c>
      <c r="C846" s="85" t="s">
        <v>1598</v>
      </c>
      <c r="D846" s="85" t="s">
        <v>1764</v>
      </c>
      <c r="E846" s="85" t="s">
        <v>907</v>
      </c>
      <c r="F846" s="85"/>
      <c r="G846" s="90">
        <f>G847+G848</f>
        <v>560</v>
      </c>
      <c r="H846" s="90">
        <f>H847+H848</f>
        <v>560</v>
      </c>
      <c r="I846" s="422">
        <f>I847+I848</f>
        <v>97.3</v>
      </c>
      <c r="J846" s="203">
        <f t="shared" si="79"/>
        <v>17.375</v>
      </c>
      <c r="K846" s="433">
        <f t="shared" si="80"/>
        <v>17.375</v>
      </c>
    </row>
    <row r="847" spans="1:11" ht="24">
      <c r="A847" s="87" t="s">
        <v>1836</v>
      </c>
      <c r="B847" s="82" t="s">
        <v>892</v>
      </c>
      <c r="C847" s="85" t="s">
        <v>1598</v>
      </c>
      <c r="D847" s="85" t="s">
        <v>1764</v>
      </c>
      <c r="E847" s="85" t="s">
        <v>907</v>
      </c>
      <c r="F847" s="85" t="s">
        <v>1837</v>
      </c>
      <c r="G847" s="90"/>
      <c r="H847" s="90">
        <v>560</v>
      </c>
      <c r="I847" s="422">
        <v>97.3</v>
      </c>
      <c r="J847" s="203"/>
      <c r="K847" s="433">
        <f t="shared" si="80"/>
        <v>17.375</v>
      </c>
    </row>
    <row r="848" spans="1:11" ht="24">
      <c r="A848" s="358" t="s">
        <v>171</v>
      </c>
      <c r="B848" s="82" t="s">
        <v>892</v>
      </c>
      <c r="C848" s="85" t="s">
        <v>1598</v>
      </c>
      <c r="D848" s="85" t="s">
        <v>1764</v>
      </c>
      <c r="E848" s="85" t="s">
        <v>907</v>
      </c>
      <c r="F848" s="85" t="s">
        <v>436</v>
      </c>
      <c r="G848" s="90">
        <v>560</v>
      </c>
      <c r="H848" s="90"/>
      <c r="I848" s="422"/>
      <c r="J848" s="203">
        <f t="shared" si="79"/>
        <v>0</v>
      </c>
      <c r="K848" s="433"/>
    </row>
    <row r="849" spans="1:11" ht="24">
      <c r="A849" s="86" t="s">
        <v>909</v>
      </c>
      <c r="B849" s="82" t="s">
        <v>892</v>
      </c>
      <c r="C849" s="85" t="s">
        <v>1598</v>
      </c>
      <c r="D849" s="85" t="s">
        <v>1764</v>
      </c>
      <c r="E849" s="85" t="s">
        <v>910</v>
      </c>
      <c r="F849" s="85"/>
      <c r="G849" s="90">
        <f>G850</f>
        <v>1300</v>
      </c>
      <c r="H849" s="90">
        <f>H850</f>
        <v>5300</v>
      </c>
      <c r="I849" s="422">
        <f>I850</f>
        <v>3216.3999999999996</v>
      </c>
      <c r="J849" s="421" t="s">
        <v>1212</v>
      </c>
      <c r="K849" s="433">
        <f t="shared" si="80"/>
        <v>60.68679245283018</v>
      </c>
    </row>
    <row r="850" spans="1:11" ht="36">
      <c r="A850" s="95" t="s">
        <v>740</v>
      </c>
      <c r="B850" s="82" t="s">
        <v>892</v>
      </c>
      <c r="C850" s="85" t="s">
        <v>1598</v>
      </c>
      <c r="D850" s="85" t="s">
        <v>1764</v>
      </c>
      <c r="E850" s="85" t="s">
        <v>741</v>
      </c>
      <c r="F850" s="85" t="s">
        <v>1071</v>
      </c>
      <c r="G850" s="90">
        <f>G851+G853+G852</f>
        <v>1300</v>
      </c>
      <c r="H850" s="90">
        <f>H851+H853+H852</f>
        <v>5300</v>
      </c>
      <c r="I850" s="422">
        <f>I851+I853+I852</f>
        <v>3216.3999999999996</v>
      </c>
      <c r="J850" s="421" t="s">
        <v>1212</v>
      </c>
      <c r="K850" s="433">
        <f t="shared" si="80"/>
        <v>60.68679245283018</v>
      </c>
    </row>
    <row r="851" spans="1:11" ht="24">
      <c r="A851" s="87" t="s">
        <v>1836</v>
      </c>
      <c r="B851" s="82" t="s">
        <v>892</v>
      </c>
      <c r="C851" s="85" t="s">
        <v>1598</v>
      </c>
      <c r="D851" s="85" t="s">
        <v>1764</v>
      </c>
      <c r="E851" s="85" t="s">
        <v>741</v>
      </c>
      <c r="F851" s="85" t="s">
        <v>1837</v>
      </c>
      <c r="G851" s="90"/>
      <c r="H851" s="90">
        <f>2000+2000+300</f>
        <v>4300</v>
      </c>
      <c r="I851" s="422">
        <v>2289.7</v>
      </c>
      <c r="J851" s="203"/>
      <c r="K851" s="433">
        <f t="shared" si="80"/>
        <v>53.24883720930232</v>
      </c>
    </row>
    <row r="852" spans="1:11" ht="15.75" hidden="1">
      <c r="A852" s="95" t="s">
        <v>938</v>
      </c>
      <c r="B852" s="82" t="s">
        <v>892</v>
      </c>
      <c r="C852" s="85" t="s">
        <v>1598</v>
      </c>
      <c r="D852" s="85" t="s">
        <v>1764</v>
      </c>
      <c r="E852" s="85" t="s">
        <v>741</v>
      </c>
      <c r="F852" s="85" t="s">
        <v>742</v>
      </c>
      <c r="G852" s="90"/>
      <c r="H852" s="90"/>
      <c r="I852" s="422"/>
      <c r="J852" s="203"/>
      <c r="K852" s="433"/>
    </row>
    <row r="853" spans="1:11" ht="24">
      <c r="A853" s="87" t="s">
        <v>171</v>
      </c>
      <c r="B853" s="82" t="s">
        <v>892</v>
      </c>
      <c r="C853" s="85" t="s">
        <v>1598</v>
      </c>
      <c r="D853" s="85" t="s">
        <v>1764</v>
      </c>
      <c r="E853" s="85" t="s">
        <v>741</v>
      </c>
      <c r="F853" s="85" t="s">
        <v>436</v>
      </c>
      <c r="G853" s="90">
        <v>1300</v>
      </c>
      <c r="H853" s="90">
        <f>1300-300</f>
        <v>1000</v>
      </c>
      <c r="I853" s="422">
        <v>926.7</v>
      </c>
      <c r="J853" s="203">
        <f t="shared" si="79"/>
        <v>71.28461538461539</v>
      </c>
      <c r="K853" s="433">
        <f t="shared" si="80"/>
        <v>92.67</v>
      </c>
    </row>
    <row r="854" spans="1:11" ht="24.75" hidden="1">
      <c r="A854" s="95" t="s">
        <v>913</v>
      </c>
      <c r="B854" s="82" t="s">
        <v>892</v>
      </c>
      <c r="C854" s="85" t="s">
        <v>1598</v>
      </c>
      <c r="D854" s="85" t="s">
        <v>1764</v>
      </c>
      <c r="E854" s="85" t="s">
        <v>914</v>
      </c>
      <c r="F854" s="85" t="s">
        <v>1071</v>
      </c>
      <c r="G854" s="90">
        <f>G855</f>
        <v>0</v>
      </c>
      <c r="H854" s="90">
        <f>H855</f>
        <v>0</v>
      </c>
      <c r="I854" s="422">
        <f>I855</f>
        <v>0</v>
      </c>
      <c r="J854" s="203" t="e">
        <f t="shared" si="79"/>
        <v>#DIV/0!</v>
      </c>
      <c r="K854" s="433" t="e">
        <f t="shared" si="80"/>
        <v>#DIV/0!</v>
      </c>
    </row>
    <row r="855" spans="1:11" ht="15.75" hidden="1">
      <c r="A855" s="87" t="s">
        <v>171</v>
      </c>
      <c r="B855" s="82" t="s">
        <v>892</v>
      </c>
      <c r="C855" s="85" t="s">
        <v>1598</v>
      </c>
      <c r="D855" s="85" t="s">
        <v>1764</v>
      </c>
      <c r="E855" s="85" t="s">
        <v>914</v>
      </c>
      <c r="F855" s="85" t="s">
        <v>436</v>
      </c>
      <c r="G855" s="90"/>
      <c r="H855" s="90"/>
      <c r="I855" s="422"/>
      <c r="J855" s="203" t="e">
        <f t="shared" si="79"/>
        <v>#DIV/0!</v>
      </c>
      <c r="K855" s="433" t="e">
        <f t="shared" si="80"/>
        <v>#DIV/0!</v>
      </c>
    </row>
    <row r="856" spans="1:11" ht="15">
      <c r="A856" s="88" t="s">
        <v>915</v>
      </c>
      <c r="B856" s="82" t="s">
        <v>892</v>
      </c>
      <c r="C856" s="85" t="s">
        <v>1603</v>
      </c>
      <c r="D856" s="85"/>
      <c r="E856" s="85"/>
      <c r="F856" s="85"/>
      <c r="G856" s="90">
        <f>G857+G862+G876+G893+G914</f>
        <v>265167</v>
      </c>
      <c r="H856" s="90">
        <f>H857+H862+H876+H893+H914</f>
        <v>323910.80000000005</v>
      </c>
      <c r="I856" s="422">
        <f>I857+I862+I876+I893+I914</f>
        <v>281020.4</v>
      </c>
      <c r="J856" s="203">
        <f t="shared" si="79"/>
        <v>105.97864741841934</v>
      </c>
      <c r="K856" s="433">
        <f t="shared" si="80"/>
        <v>86.75857674396778</v>
      </c>
    </row>
    <row r="857" spans="1:11" ht="15">
      <c r="A857" s="106" t="s">
        <v>606</v>
      </c>
      <c r="B857" s="82" t="s">
        <v>892</v>
      </c>
      <c r="C857" s="85" t="s">
        <v>1603</v>
      </c>
      <c r="D857" s="85" t="s">
        <v>584</v>
      </c>
      <c r="E857" s="85"/>
      <c r="F857" s="85"/>
      <c r="G857" s="90">
        <f aca="true" t="shared" si="82" ref="G857:I859">G858</f>
        <v>1000</v>
      </c>
      <c r="H857" s="90">
        <f t="shared" si="82"/>
        <v>1000</v>
      </c>
      <c r="I857" s="422">
        <f t="shared" si="82"/>
        <v>1000</v>
      </c>
      <c r="J857" s="203">
        <f t="shared" si="79"/>
        <v>100</v>
      </c>
      <c r="K857" s="433">
        <f t="shared" si="80"/>
        <v>100</v>
      </c>
    </row>
    <row r="858" spans="1:11" ht="24">
      <c r="A858" s="86" t="s">
        <v>920</v>
      </c>
      <c r="B858" s="82" t="s">
        <v>892</v>
      </c>
      <c r="C858" s="85" t="s">
        <v>1603</v>
      </c>
      <c r="D858" s="85" t="s">
        <v>584</v>
      </c>
      <c r="E858" s="85" t="s">
        <v>921</v>
      </c>
      <c r="F858" s="85"/>
      <c r="G858" s="90">
        <f t="shared" si="82"/>
        <v>1000</v>
      </c>
      <c r="H858" s="90">
        <f t="shared" si="82"/>
        <v>1000</v>
      </c>
      <c r="I858" s="422">
        <f t="shared" si="82"/>
        <v>1000</v>
      </c>
      <c r="J858" s="203">
        <f t="shared" si="79"/>
        <v>100</v>
      </c>
      <c r="K858" s="433">
        <f t="shared" si="80"/>
        <v>100</v>
      </c>
    </row>
    <row r="859" spans="1:11" ht="24">
      <c r="A859" s="92" t="s">
        <v>922</v>
      </c>
      <c r="B859" s="82" t="s">
        <v>892</v>
      </c>
      <c r="C859" s="85" t="s">
        <v>1603</v>
      </c>
      <c r="D859" s="85" t="s">
        <v>584</v>
      </c>
      <c r="E859" s="85" t="s">
        <v>923</v>
      </c>
      <c r="F859" s="85" t="s">
        <v>1071</v>
      </c>
      <c r="G859" s="90">
        <f t="shared" si="82"/>
        <v>1000</v>
      </c>
      <c r="H859" s="90">
        <f t="shared" si="82"/>
        <v>1000</v>
      </c>
      <c r="I859" s="422">
        <f t="shared" si="82"/>
        <v>1000</v>
      </c>
      <c r="J859" s="203">
        <f t="shared" si="79"/>
        <v>100</v>
      </c>
      <c r="K859" s="433">
        <f t="shared" si="80"/>
        <v>100</v>
      </c>
    </row>
    <row r="860" spans="1:11" ht="24">
      <c r="A860" s="87" t="s">
        <v>743</v>
      </c>
      <c r="B860" s="82" t="s">
        <v>892</v>
      </c>
      <c r="C860" s="174" t="s">
        <v>1603</v>
      </c>
      <c r="D860" s="174" t="s">
        <v>584</v>
      </c>
      <c r="E860" s="102" t="s">
        <v>923</v>
      </c>
      <c r="F860" s="102" t="s">
        <v>744</v>
      </c>
      <c r="G860" s="90">
        <v>1000</v>
      </c>
      <c r="H860" s="90">
        <v>1000</v>
      </c>
      <c r="I860" s="422">
        <v>1000</v>
      </c>
      <c r="J860" s="203">
        <f t="shared" si="79"/>
        <v>100</v>
      </c>
      <c r="K860" s="433">
        <f t="shared" si="80"/>
        <v>100</v>
      </c>
    </row>
    <row r="861" spans="1:11" ht="24">
      <c r="A861" s="87" t="s">
        <v>745</v>
      </c>
      <c r="B861" s="82" t="s">
        <v>892</v>
      </c>
      <c r="C861" s="83" t="s">
        <v>1603</v>
      </c>
      <c r="D861" s="83" t="s">
        <v>584</v>
      </c>
      <c r="E861" s="85" t="s">
        <v>923</v>
      </c>
      <c r="F861" s="85" t="s">
        <v>746</v>
      </c>
      <c r="G861" s="90">
        <v>1000</v>
      </c>
      <c r="H861" s="90">
        <v>1000</v>
      </c>
      <c r="I861" s="422">
        <v>1000</v>
      </c>
      <c r="J861" s="203">
        <f t="shared" si="79"/>
        <v>100</v>
      </c>
      <c r="K861" s="433">
        <f t="shared" si="80"/>
        <v>100</v>
      </c>
    </row>
    <row r="862" spans="1:11" ht="15">
      <c r="A862" s="91" t="s">
        <v>608</v>
      </c>
      <c r="B862" s="82" t="s">
        <v>892</v>
      </c>
      <c r="C862" s="85" t="s">
        <v>1603</v>
      </c>
      <c r="D862" s="85" t="s">
        <v>589</v>
      </c>
      <c r="E862" s="85"/>
      <c r="F862" s="85"/>
      <c r="G862" s="90">
        <f>G863+G865</f>
        <v>92458</v>
      </c>
      <c r="H862" s="90">
        <f>H863+H865</f>
        <v>93635</v>
      </c>
      <c r="I862" s="422">
        <f>I863+I865</f>
        <v>90579.5</v>
      </c>
      <c r="J862" s="203">
        <f t="shared" si="79"/>
        <v>97.96826667243505</v>
      </c>
      <c r="K862" s="433">
        <f t="shared" si="80"/>
        <v>96.73679713782239</v>
      </c>
    </row>
    <row r="863" spans="1:11" ht="15.75" hidden="1">
      <c r="A863" s="93" t="s">
        <v>927</v>
      </c>
      <c r="B863" s="82" t="s">
        <v>892</v>
      </c>
      <c r="C863" s="85" t="s">
        <v>1603</v>
      </c>
      <c r="D863" s="85" t="s">
        <v>589</v>
      </c>
      <c r="E863" s="85" t="s">
        <v>928</v>
      </c>
      <c r="F863" s="85"/>
      <c r="G863" s="90">
        <f>G864</f>
        <v>0</v>
      </c>
      <c r="H863" s="90">
        <f>H864</f>
        <v>0</v>
      </c>
      <c r="I863" s="422">
        <f>I864</f>
        <v>0</v>
      </c>
      <c r="J863" s="203" t="e">
        <f t="shared" si="79"/>
        <v>#DIV/0!</v>
      </c>
      <c r="K863" s="433" t="e">
        <f t="shared" si="80"/>
        <v>#DIV/0!</v>
      </c>
    </row>
    <row r="864" spans="1:11" ht="15.75" hidden="1">
      <c r="A864" s="87" t="s">
        <v>929</v>
      </c>
      <c r="B864" s="82" t="s">
        <v>892</v>
      </c>
      <c r="C864" s="85" t="s">
        <v>1603</v>
      </c>
      <c r="D864" s="85" t="s">
        <v>589</v>
      </c>
      <c r="E864" s="85" t="s">
        <v>928</v>
      </c>
      <c r="F864" s="85" t="s">
        <v>930</v>
      </c>
      <c r="G864" s="90">
        <v>0</v>
      </c>
      <c r="H864" s="90">
        <v>0</v>
      </c>
      <c r="I864" s="422"/>
      <c r="J864" s="203" t="e">
        <f t="shared" si="79"/>
        <v>#DIV/0!</v>
      </c>
      <c r="K864" s="433" t="e">
        <f t="shared" si="80"/>
        <v>#DIV/0!</v>
      </c>
    </row>
    <row r="865" spans="1:11" ht="24">
      <c r="A865" s="86" t="s">
        <v>931</v>
      </c>
      <c r="B865" s="82" t="s">
        <v>892</v>
      </c>
      <c r="C865" s="85" t="s">
        <v>1603</v>
      </c>
      <c r="D865" s="85" t="s">
        <v>589</v>
      </c>
      <c r="E865" s="85" t="s">
        <v>932</v>
      </c>
      <c r="F865" s="85"/>
      <c r="G865" s="90">
        <f>G866+G870+G872</f>
        <v>92458</v>
      </c>
      <c r="H865" s="90">
        <f>H866+H870+H872</f>
        <v>93635</v>
      </c>
      <c r="I865" s="422">
        <f>I866+I870+I872</f>
        <v>90579.5</v>
      </c>
      <c r="J865" s="203">
        <f t="shared" si="79"/>
        <v>97.96826667243505</v>
      </c>
      <c r="K865" s="433">
        <f t="shared" si="80"/>
        <v>96.73679713782239</v>
      </c>
    </row>
    <row r="866" spans="1:11" ht="24">
      <c r="A866" s="87" t="s">
        <v>899</v>
      </c>
      <c r="B866" s="82" t="s">
        <v>892</v>
      </c>
      <c r="C866" s="85" t="s">
        <v>1603</v>
      </c>
      <c r="D866" s="85" t="s">
        <v>589</v>
      </c>
      <c r="E866" s="85" t="s">
        <v>934</v>
      </c>
      <c r="F866" s="85" t="s">
        <v>1071</v>
      </c>
      <c r="G866" s="90">
        <f>G867+G868+G869</f>
        <v>92458</v>
      </c>
      <c r="H866" s="90">
        <f>H867+H868+H869</f>
        <v>0</v>
      </c>
      <c r="I866" s="422">
        <f>I867+I868+I869</f>
        <v>0</v>
      </c>
      <c r="J866" s="203">
        <f t="shared" si="79"/>
        <v>0</v>
      </c>
      <c r="K866" s="433"/>
    </row>
    <row r="867" spans="1:11" ht="24">
      <c r="A867" s="87" t="s">
        <v>924</v>
      </c>
      <c r="B867" s="82" t="s">
        <v>892</v>
      </c>
      <c r="C867" s="85" t="s">
        <v>1603</v>
      </c>
      <c r="D867" s="85" t="s">
        <v>589</v>
      </c>
      <c r="E867" s="85" t="s">
        <v>934</v>
      </c>
      <c r="F867" s="85" t="s">
        <v>1881</v>
      </c>
      <c r="G867" s="90">
        <v>9000</v>
      </c>
      <c r="H867" s="90">
        <v>0</v>
      </c>
      <c r="I867" s="422"/>
      <c r="J867" s="203">
        <f t="shared" si="79"/>
        <v>0</v>
      </c>
      <c r="K867" s="433"/>
    </row>
    <row r="868" spans="1:11" ht="24">
      <c r="A868" s="95" t="s">
        <v>540</v>
      </c>
      <c r="B868" s="82" t="s">
        <v>892</v>
      </c>
      <c r="C868" s="85" t="s">
        <v>1603</v>
      </c>
      <c r="D868" s="85" t="s">
        <v>589</v>
      </c>
      <c r="E868" s="85" t="s">
        <v>934</v>
      </c>
      <c r="F868" s="85" t="s">
        <v>541</v>
      </c>
      <c r="G868" s="90">
        <v>83458</v>
      </c>
      <c r="H868" s="90">
        <f>55615+229+229+27385-83458</f>
        <v>0</v>
      </c>
      <c r="I868" s="422">
        <f>55615+229+229+27385-83458</f>
        <v>0</v>
      </c>
      <c r="J868" s="203">
        <f t="shared" si="79"/>
        <v>0</v>
      </c>
      <c r="K868" s="433"/>
    </row>
    <row r="869" spans="1:11" ht="24" hidden="1">
      <c r="A869" s="87" t="s">
        <v>185</v>
      </c>
      <c r="B869" s="82" t="s">
        <v>892</v>
      </c>
      <c r="C869" s="85" t="s">
        <v>1603</v>
      </c>
      <c r="D869" s="85" t="s">
        <v>589</v>
      </c>
      <c r="E869" s="85" t="s">
        <v>934</v>
      </c>
      <c r="F869" s="85" t="s">
        <v>186</v>
      </c>
      <c r="G869" s="90">
        <f>9000-9000</f>
        <v>0</v>
      </c>
      <c r="H869" s="90">
        <f>9000-9000</f>
        <v>0</v>
      </c>
      <c r="I869" s="422">
        <f>9000-9000</f>
        <v>0</v>
      </c>
      <c r="J869" s="203" t="e">
        <f t="shared" si="79"/>
        <v>#DIV/0!</v>
      </c>
      <c r="K869" s="433" t="e">
        <f t="shared" si="80"/>
        <v>#DIV/0!</v>
      </c>
    </row>
    <row r="870" spans="1:11" ht="60">
      <c r="A870" s="87" t="s">
        <v>747</v>
      </c>
      <c r="B870" s="82" t="s">
        <v>892</v>
      </c>
      <c r="C870" s="85" t="s">
        <v>1603</v>
      </c>
      <c r="D870" s="85" t="s">
        <v>589</v>
      </c>
      <c r="E870" s="85" t="s">
        <v>748</v>
      </c>
      <c r="F870" s="85" t="s">
        <v>1071</v>
      </c>
      <c r="G870" s="90">
        <f>G871</f>
        <v>0</v>
      </c>
      <c r="H870" s="90">
        <f>H871</f>
        <v>1177</v>
      </c>
      <c r="I870" s="422">
        <f>I871</f>
        <v>1177</v>
      </c>
      <c r="J870" s="203"/>
      <c r="K870" s="433">
        <f t="shared" si="80"/>
        <v>100</v>
      </c>
    </row>
    <row r="871" spans="1:11" ht="24">
      <c r="A871" s="87" t="s">
        <v>749</v>
      </c>
      <c r="B871" s="82" t="s">
        <v>892</v>
      </c>
      <c r="C871" s="85" t="s">
        <v>1603</v>
      </c>
      <c r="D871" s="85" t="s">
        <v>589</v>
      </c>
      <c r="E871" s="85" t="s">
        <v>748</v>
      </c>
      <c r="F871" s="85" t="s">
        <v>750</v>
      </c>
      <c r="G871" s="90"/>
      <c r="H871" s="90">
        <v>1177</v>
      </c>
      <c r="I871" s="422">
        <v>1177</v>
      </c>
      <c r="J871" s="203"/>
      <c r="K871" s="433">
        <f t="shared" si="80"/>
        <v>100</v>
      </c>
    </row>
    <row r="872" spans="1:11" ht="60">
      <c r="A872" s="87" t="s">
        <v>751</v>
      </c>
      <c r="B872" s="82" t="s">
        <v>892</v>
      </c>
      <c r="C872" s="85" t="s">
        <v>1603</v>
      </c>
      <c r="D872" s="85" t="s">
        <v>589</v>
      </c>
      <c r="E872" s="85" t="s">
        <v>752</v>
      </c>
      <c r="F872" s="85" t="s">
        <v>1071</v>
      </c>
      <c r="G872" s="90">
        <f>G873+G874+G875</f>
        <v>0</v>
      </c>
      <c r="H872" s="90">
        <f>H873+H874+H875</f>
        <v>92458</v>
      </c>
      <c r="I872" s="422">
        <f>I873+I874+I875</f>
        <v>89402.5</v>
      </c>
      <c r="J872" s="203"/>
      <c r="K872" s="433">
        <f t="shared" si="80"/>
        <v>96.69525622444786</v>
      </c>
    </row>
    <row r="873" spans="1:11" ht="24">
      <c r="A873" s="87" t="s">
        <v>1836</v>
      </c>
      <c r="B873" s="82" t="s">
        <v>892</v>
      </c>
      <c r="C873" s="85" t="s">
        <v>1603</v>
      </c>
      <c r="D873" s="85" t="s">
        <v>589</v>
      </c>
      <c r="E873" s="85" t="s">
        <v>752</v>
      </c>
      <c r="F873" s="85" t="s">
        <v>1837</v>
      </c>
      <c r="G873" s="90"/>
      <c r="H873" s="90">
        <v>83229</v>
      </c>
      <c r="I873" s="422">
        <v>83229</v>
      </c>
      <c r="J873" s="203"/>
      <c r="K873" s="433">
        <f t="shared" si="80"/>
        <v>100</v>
      </c>
    </row>
    <row r="874" spans="1:11" ht="24">
      <c r="A874" s="87" t="s">
        <v>749</v>
      </c>
      <c r="B874" s="82" t="s">
        <v>892</v>
      </c>
      <c r="C874" s="85" t="s">
        <v>1603</v>
      </c>
      <c r="D874" s="85" t="s">
        <v>589</v>
      </c>
      <c r="E874" s="85" t="s">
        <v>752</v>
      </c>
      <c r="F874" s="85" t="s">
        <v>750</v>
      </c>
      <c r="G874" s="90"/>
      <c r="H874" s="90">
        <f>1177+229-1177</f>
        <v>229</v>
      </c>
      <c r="I874" s="422">
        <v>229</v>
      </c>
      <c r="J874" s="203"/>
      <c r="K874" s="433">
        <f t="shared" si="80"/>
        <v>100</v>
      </c>
    </row>
    <row r="875" spans="1:11" ht="36">
      <c r="A875" s="92" t="s">
        <v>185</v>
      </c>
      <c r="B875" s="82" t="s">
        <v>892</v>
      </c>
      <c r="C875" s="85" t="s">
        <v>1603</v>
      </c>
      <c r="D875" s="85" t="s">
        <v>589</v>
      </c>
      <c r="E875" s="85" t="s">
        <v>752</v>
      </c>
      <c r="F875" s="85" t="s">
        <v>186</v>
      </c>
      <c r="G875" s="90"/>
      <c r="H875" s="90">
        <v>9000</v>
      </c>
      <c r="I875" s="422">
        <v>5944.5</v>
      </c>
      <c r="J875" s="203"/>
      <c r="K875" s="433">
        <f t="shared" si="80"/>
        <v>66.05</v>
      </c>
    </row>
    <row r="876" spans="1:11" ht="15">
      <c r="A876" s="110" t="s">
        <v>609</v>
      </c>
      <c r="B876" s="82" t="s">
        <v>892</v>
      </c>
      <c r="C876" s="85" t="s">
        <v>1603</v>
      </c>
      <c r="D876" s="85" t="s">
        <v>1788</v>
      </c>
      <c r="E876" s="85"/>
      <c r="F876" s="85"/>
      <c r="G876" s="90">
        <f>G877+G880+G888</f>
        <v>157365</v>
      </c>
      <c r="H876" s="90">
        <f>H877+H880+H888</f>
        <v>197340.30000000002</v>
      </c>
      <c r="I876" s="422">
        <f>I877+I880+I888</f>
        <v>159216.2</v>
      </c>
      <c r="J876" s="203">
        <f t="shared" si="79"/>
        <v>101.17637339942173</v>
      </c>
      <c r="K876" s="433">
        <f t="shared" si="80"/>
        <v>80.68103676745196</v>
      </c>
    </row>
    <row r="877" spans="1:11" ht="24.75" hidden="1">
      <c r="A877" s="108" t="s">
        <v>935</v>
      </c>
      <c r="B877" s="82" t="s">
        <v>892</v>
      </c>
      <c r="C877" s="85" t="s">
        <v>1603</v>
      </c>
      <c r="D877" s="85" t="s">
        <v>1788</v>
      </c>
      <c r="E877" s="85" t="s">
        <v>936</v>
      </c>
      <c r="F877" s="85"/>
      <c r="G877" s="90">
        <f aca="true" t="shared" si="83" ref="G877:I878">G878</f>
        <v>0</v>
      </c>
      <c r="H877" s="90">
        <f t="shared" si="83"/>
        <v>0</v>
      </c>
      <c r="I877" s="422">
        <f t="shared" si="83"/>
        <v>0</v>
      </c>
      <c r="J877" s="203" t="e">
        <f t="shared" si="79"/>
        <v>#DIV/0!</v>
      </c>
      <c r="K877" s="433" t="e">
        <f t="shared" si="80"/>
        <v>#DIV/0!</v>
      </c>
    </row>
    <row r="878" spans="1:11" ht="24.75" hidden="1">
      <c r="A878" s="108" t="s">
        <v>937</v>
      </c>
      <c r="B878" s="82" t="s">
        <v>892</v>
      </c>
      <c r="C878" s="85" t="s">
        <v>1603</v>
      </c>
      <c r="D878" s="85" t="s">
        <v>1788</v>
      </c>
      <c r="E878" s="85" t="s">
        <v>1049</v>
      </c>
      <c r="F878" s="85" t="s">
        <v>1071</v>
      </c>
      <c r="G878" s="90">
        <f t="shared" si="83"/>
        <v>0</v>
      </c>
      <c r="H878" s="90">
        <f t="shared" si="83"/>
        <v>0</v>
      </c>
      <c r="I878" s="422">
        <f t="shared" si="83"/>
        <v>0</v>
      </c>
      <c r="J878" s="203" t="e">
        <f t="shared" si="79"/>
        <v>#DIV/0!</v>
      </c>
      <c r="K878" s="433" t="e">
        <f t="shared" si="80"/>
        <v>#DIV/0!</v>
      </c>
    </row>
    <row r="879" spans="1:11" ht="15.75" hidden="1">
      <c r="A879" s="108" t="s">
        <v>938</v>
      </c>
      <c r="B879" s="82" t="s">
        <v>892</v>
      </c>
      <c r="C879" s="85" t="s">
        <v>1603</v>
      </c>
      <c r="D879" s="85" t="s">
        <v>1788</v>
      </c>
      <c r="E879" s="85" t="s">
        <v>1049</v>
      </c>
      <c r="F879" s="85" t="s">
        <v>1879</v>
      </c>
      <c r="G879" s="90"/>
      <c r="H879" s="90"/>
      <c r="I879" s="422"/>
      <c r="J879" s="203" t="e">
        <f t="shared" si="79"/>
        <v>#DIV/0!</v>
      </c>
      <c r="K879" s="433" t="e">
        <f t="shared" si="80"/>
        <v>#DIV/0!</v>
      </c>
    </row>
    <row r="880" spans="1:11" ht="24">
      <c r="A880" s="86" t="s">
        <v>927</v>
      </c>
      <c r="B880" s="82" t="s">
        <v>892</v>
      </c>
      <c r="C880" s="85" t="s">
        <v>1603</v>
      </c>
      <c r="D880" s="85" t="s">
        <v>1788</v>
      </c>
      <c r="E880" s="85" t="s">
        <v>928</v>
      </c>
      <c r="F880" s="85"/>
      <c r="G880" s="90">
        <f>G881</f>
        <v>157365</v>
      </c>
      <c r="H880" s="90">
        <f>H881</f>
        <v>184336.1</v>
      </c>
      <c r="I880" s="422">
        <f>I881</f>
        <v>150086.30000000002</v>
      </c>
      <c r="J880" s="203">
        <f t="shared" si="79"/>
        <v>95.37463857909955</v>
      </c>
      <c r="K880" s="433">
        <f t="shared" si="80"/>
        <v>81.41991720558264</v>
      </c>
    </row>
    <row r="881" spans="1:11" ht="24">
      <c r="A881" s="92" t="s">
        <v>939</v>
      </c>
      <c r="B881" s="82" t="s">
        <v>892</v>
      </c>
      <c r="C881" s="85" t="s">
        <v>1603</v>
      </c>
      <c r="D881" s="85" t="s">
        <v>1788</v>
      </c>
      <c r="E881" s="85" t="s">
        <v>940</v>
      </c>
      <c r="F881" s="85" t="s">
        <v>1071</v>
      </c>
      <c r="G881" s="90">
        <f>G882+G884+G883+G886</f>
        <v>157365</v>
      </c>
      <c r="H881" s="90">
        <f>H882+H884+H883+H886</f>
        <v>184336.1</v>
      </c>
      <c r="I881" s="422">
        <f>I882+I884+I883+I886</f>
        <v>150086.30000000002</v>
      </c>
      <c r="J881" s="203">
        <f t="shared" si="79"/>
        <v>95.37463857909955</v>
      </c>
      <c r="K881" s="433">
        <f t="shared" si="80"/>
        <v>81.41991720558264</v>
      </c>
    </row>
    <row r="882" spans="1:11" ht="24">
      <c r="A882" s="87" t="s">
        <v>1836</v>
      </c>
      <c r="B882" s="82" t="s">
        <v>892</v>
      </c>
      <c r="C882" s="85" t="s">
        <v>1603</v>
      </c>
      <c r="D882" s="85" t="s">
        <v>1788</v>
      </c>
      <c r="E882" s="85" t="s">
        <v>940</v>
      </c>
      <c r="F882" s="85" t="s">
        <v>1837</v>
      </c>
      <c r="G882" s="90"/>
      <c r="H882" s="90">
        <f>5000+4500+330+4556.5+23403+56155.6+870+480.7</f>
        <v>95295.8</v>
      </c>
      <c r="I882" s="422">
        <v>61161</v>
      </c>
      <c r="J882" s="203"/>
      <c r="K882" s="433">
        <f t="shared" si="80"/>
        <v>64.18016323909343</v>
      </c>
    </row>
    <row r="883" spans="1:11" ht="24">
      <c r="A883" s="92" t="s">
        <v>171</v>
      </c>
      <c r="B883" s="82" t="s">
        <v>892</v>
      </c>
      <c r="C883" s="85" t="s">
        <v>1603</v>
      </c>
      <c r="D883" s="85" t="s">
        <v>1788</v>
      </c>
      <c r="E883" s="85" t="s">
        <v>940</v>
      </c>
      <c r="F883" s="85" t="s">
        <v>436</v>
      </c>
      <c r="G883" s="90">
        <v>80000</v>
      </c>
      <c r="H883" s="90">
        <f>11000+69000-12900-10944.4-56155.6</f>
        <v>0</v>
      </c>
      <c r="I883" s="422">
        <f>11000+69000-12900-10944.4-56155.6</f>
        <v>0</v>
      </c>
      <c r="J883" s="203">
        <f t="shared" si="79"/>
        <v>0</v>
      </c>
      <c r="K883" s="433"/>
    </row>
    <row r="884" spans="1:11" ht="24">
      <c r="A884" s="87" t="s">
        <v>743</v>
      </c>
      <c r="B884" s="82" t="s">
        <v>892</v>
      </c>
      <c r="C884" s="85" t="s">
        <v>1603</v>
      </c>
      <c r="D884" s="85" t="s">
        <v>1788</v>
      </c>
      <c r="E884" s="85" t="s">
        <v>940</v>
      </c>
      <c r="F884" s="85" t="s">
        <v>744</v>
      </c>
      <c r="G884" s="90">
        <f>G885</f>
        <v>77365</v>
      </c>
      <c r="H884" s="90">
        <f>H885</f>
        <v>88267.59999999999</v>
      </c>
      <c r="I884" s="422">
        <f>I885</f>
        <v>88152.6</v>
      </c>
      <c r="J884" s="203">
        <f t="shared" si="79"/>
        <v>113.94377302397727</v>
      </c>
      <c r="K884" s="433">
        <f t="shared" si="80"/>
        <v>99.8697143685792</v>
      </c>
    </row>
    <row r="885" spans="1:11" ht="24">
      <c r="A885" s="87" t="s">
        <v>745</v>
      </c>
      <c r="B885" s="82" t="s">
        <v>892</v>
      </c>
      <c r="C885" s="85" t="s">
        <v>1603</v>
      </c>
      <c r="D885" s="85" t="s">
        <v>1788</v>
      </c>
      <c r="E885" s="85" t="s">
        <v>940</v>
      </c>
      <c r="F885" s="85" t="s">
        <v>746</v>
      </c>
      <c r="G885" s="90">
        <v>77365</v>
      </c>
      <c r="H885" s="90">
        <f>77365+201.4+10944.5-243.3</f>
        <v>88267.59999999999</v>
      </c>
      <c r="I885" s="422">
        <v>88152.6</v>
      </c>
      <c r="J885" s="203">
        <f t="shared" si="79"/>
        <v>113.94377302397727</v>
      </c>
      <c r="K885" s="433">
        <f t="shared" si="80"/>
        <v>99.8697143685792</v>
      </c>
    </row>
    <row r="886" spans="1:11" ht="36">
      <c r="A886" s="87" t="s">
        <v>753</v>
      </c>
      <c r="B886" s="82" t="s">
        <v>892</v>
      </c>
      <c r="C886" s="85" t="s">
        <v>1603</v>
      </c>
      <c r="D886" s="85" t="s">
        <v>1788</v>
      </c>
      <c r="E886" s="85" t="s">
        <v>754</v>
      </c>
      <c r="F886" s="85" t="s">
        <v>1071</v>
      </c>
      <c r="G886" s="90">
        <f>G887</f>
        <v>0</v>
      </c>
      <c r="H886" s="90">
        <f>H887</f>
        <v>772.7</v>
      </c>
      <c r="I886" s="422">
        <f>I887</f>
        <v>772.7</v>
      </c>
      <c r="J886" s="203"/>
      <c r="K886" s="433">
        <f t="shared" si="80"/>
        <v>100</v>
      </c>
    </row>
    <row r="887" spans="1:11" ht="24">
      <c r="A887" s="87" t="s">
        <v>1636</v>
      </c>
      <c r="B887" s="82" t="s">
        <v>892</v>
      </c>
      <c r="C887" s="85" t="s">
        <v>1603</v>
      </c>
      <c r="D887" s="85" t="s">
        <v>1788</v>
      </c>
      <c r="E887" s="85" t="s">
        <v>754</v>
      </c>
      <c r="F887" s="85" t="s">
        <v>1637</v>
      </c>
      <c r="G887" s="90"/>
      <c r="H887" s="90">
        <v>772.7</v>
      </c>
      <c r="I887" s="422">
        <v>772.7</v>
      </c>
      <c r="J887" s="203"/>
      <c r="K887" s="433">
        <f t="shared" si="80"/>
        <v>100</v>
      </c>
    </row>
    <row r="888" spans="1:11" ht="24">
      <c r="A888" s="107" t="s">
        <v>909</v>
      </c>
      <c r="B888" s="82" t="s">
        <v>892</v>
      </c>
      <c r="C888" s="85" t="s">
        <v>1603</v>
      </c>
      <c r="D888" s="85" t="s">
        <v>1788</v>
      </c>
      <c r="E888" s="85" t="s">
        <v>910</v>
      </c>
      <c r="F888" s="85"/>
      <c r="G888" s="90">
        <f>G889+G891</f>
        <v>0</v>
      </c>
      <c r="H888" s="90">
        <f>H889+H891</f>
        <v>13004.2</v>
      </c>
      <c r="I888" s="422">
        <f>I889+I891</f>
        <v>9129.9</v>
      </c>
      <c r="J888" s="203"/>
      <c r="K888" s="433">
        <f t="shared" si="80"/>
        <v>70.20731763584072</v>
      </c>
    </row>
    <row r="889" spans="1:11" ht="36">
      <c r="A889" s="95" t="s">
        <v>1272</v>
      </c>
      <c r="B889" s="82" t="s">
        <v>892</v>
      </c>
      <c r="C889" s="85" t="s">
        <v>1603</v>
      </c>
      <c r="D889" s="85" t="s">
        <v>1788</v>
      </c>
      <c r="E889" s="85" t="s">
        <v>1639</v>
      </c>
      <c r="F889" s="85" t="s">
        <v>1071</v>
      </c>
      <c r="G889" s="90">
        <f>G890</f>
        <v>0</v>
      </c>
      <c r="H889" s="90">
        <f>H890</f>
        <v>13004.2</v>
      </c>
      <c r="I889" s="422">
        <f>I890</f>
        <v>9129.9</v>
      </c>
      <c r="J889" s="203"/>
      <c r="K889" s="433">
        <f t="shared" si="80"/>
        <v>70.20731763584072</v>
      </c>
    </row>
    <row r="890" spans="1:11" ht="24">
      <c r="A890" s="87" t="s">
        <v>1836</v>
      </c>
      <c r="B890" s="82" t="s">
        <v>892</v>
      </c>
      <c r="C890" s="85" t="s">
        <v>1603</v>
      </c>
      <c r="D890" s="85" t="s">
        <v>1788</v>
      </c>
      <c r="E890" s="85" t="s">
        <v>1639</v>
      </c>
      <c r="F890" s="85" t="s">
        <v>1837</v>
      </c>
      <c r="G890" s="90"/>
      <c r="H890" s="90">
        <f>12900+974.2-870</f>
        <v>13004.2</v>
      </c>
      <c r="I890" s="422">
        <v>9129.9</v>
      </c>
      <c r="J890" s="203"/>
      <c r="K890" s="433">
        <f t="shared" si="80"/>
        <v>70.20731763584072</v>
      </c>
    </row>
    <row r="891" spans="1:11" ht="15.75" hidden="1">
      <c r="A891" s="87"/>
      <c r="B891" s="82" t="s">
        <v>892</v>
      </c>
      <c r="C891" s="85" t="s">
        <v>1603</v>
      </c>
      <c r="D891" s="85" t="s">
        <v>1788</v>
      </c>
      <c r="E891" s="85" t="s">
        <v>1245</v>
      </c>
      <c r="F891" s="85" t="s">
        <v>1071</v>
      </c>
      <c r="G891" s="90">
        <f>G892</f>
        <v>0</v>
      </c>
      <c r="H891" s="90">
        <f>H892</f>
        <v>0</v>
      </c>
      <c r="I891" s="422">
        <f>I892</f>
        <v>0</v>
      </c>
      <c r="J891" s="203" t="e">
        <f t="shared" si="79"/>
        <v>#DIV/0!</v>
      </c>
      <c r="K891" s="433" t="e">
        <f t="shared" si="80"/>
        <v>#DIV/0!</v>
      </c>
    </row>
    <row r="892" spans="1:11" ht="15.75" hidden="1">
      <c r="A892" s="87"/>
      <c r="B892" s="82" t="s">
        <v>892</v>
      </c>
      <c r="C892" s="85" t="s">
        <v>1603</v>
      </c>
      <c r="D892" s="85" t="s">
        <v>1788</v>
      </c>
      <c r="E892" s="85" t="s">
        <v>1245</v>
      </c>
      <c r="F892" s="85" t="s">
        <v>1881</v>
      </c>
      <c r="G892" s="90"/>
      <c r="H892" s="90"/>
      <c r="I892" s="422"/>
      <c r="J892" s="203" t="e">
        <f aca="true" t="shared" si="84" ref="J892:J897">I892/G892*100</f>
        <v>#DIV/0!</v>
      </c>
      <c r="K892" s="433" t="e">
        <f aca="true" t="shared" si="85" ref="K892:K955">I892/H892*100</f>
        <v>#DIV/0!</v>
      </c>
    </row>
    <row r="893" spans="1:11" ht="15">
      <c r="A893" s="91" t="s">
        <v>611</v>
      </c>
      <c r="B893" s="82" t="s">
        <v>892</v>
      </c>
      <c r="C893" s="85" t="s">
        <v>1603</v>
      </c>
      <c r="D893" s="85" t="s">
        <v>1795</v>
      </c>
      <c r="E893" s="85"/>
      <c r="F893" s="85"/>
      <c r="G893" s="90">
        <f>G894+G904+G911</f>
        <v>11700</v>
      </c>
      <c r="H893" s="90">
        <f>H894+H904+H911</f>
        <v>18399.1</v>
      </c>
      <c r="I893" s="422">
        <f>I894+I904+I911</f>
        <v>17145.7</v>
      </c>
      <c r="J893" s="203">
        <f t="shared" si="84"/>
        <v>146.54444444444445</v>
      </c>
      <c r="K893" s="433">
        <f t="shared" si="85"/>
        <v>93.18771026843706</v>
      </c>
    </row>
    <row r="894" spans="1:11" ht="24">
      <c r="A894" s="93" t="s">
        <v>1246</v>
      </c>
      <c r="B894" s="82" t="s">
        <v>892</v>
      </c>
      <c r="C894" s="85" t="s">
        <v>1603</v>
      </c>
      <c r="D894" s="85" t="s">
        <v>1795</v>
      </c>
      <c r="E894" s="85" t="s">
        <v>1247</v>
      </c>
      <c r="F894" s="85"/>
      <c r="G894" s="90">
        <f aca="true" t="shared" si="86" ref="G894:I895">G895</f>
        <v>11700</v>
      </c>
      <c r="H894" s="90">
        <f t="shared" si="86"/>
        <v>14449.1</v>
      </c>
      <c r="I894" s="422">
        <f t="shared" si="86"/>
        <v>13629.5</v>
      </c>
      <c r="J894" s="203">
        <f t="shared" si="84"/>
        <v>116.49145299145299</v>
      </c>
      <c r="K894" s="433">
        <f t="shared" si="85"/>
        <v>94.32767438802416</v>
      </c>
    </row>
    <row r="895" spans="1:11" ht="24">
      <c r="A895" s="87" t="s">
        <v>661</v>
      </c>
      <c r="B895" s="82" t="s">
        <v>892</v>
      </c>
      <c r="C895" s="85" t="s">
        <v>1603</v>
      </c>
      <c r="D895" s="85" t="s">
        <v>1795</v>
      </c>
      <c r="E895" s="85" t="s">
        <v>1248</v>
      </c>
      <c r="F895" s="85" t="s">
        <v>1071</v>
      </c>
      <c r="G895" s="90">
        <f t="shared" si="86"/>
        <v>11700</v>
      </c>
      <c r="H895" s="90">
        <f t="shared" si="86"/>
        <v>14449.1</v>
      </c>
      <c r="I895" s="422">
        <f t="shared" si="86"/>
        <v>13629.5</v>
      </c>
      <c r="J895" s="203">
        <f t="shared" si="84"/>
        <v>116.49145299145299</v>
      </c>
      <c r="K895" s="433">
        <f t="shared" si="85"/>
        <v>94.32767438802416</v>
      </c>
    </row>
    <row r="896" spans="1:11" ht="24">
      <c r="A896" s="87" t="s">
        <v>743</v>
      </c>
      <c r="B896" s="82" t="s">
        <v>892</v>
      </c>
      <c r="C896" s="85" t="s">
        <v>1603</v>
      </c>
      <c r="D896" s="85" t="s">
        <v>1795</v>
      </c>
      <c r="E896" s="85" t="s">
        <v>1248</v>
      </c>
      <c r="F896" s="85" t="s">
        <v>744</v>
      </c>
      <c r="G896" s="90">
        <f>G897+G898</f>
        <v>11700</v>
      </c>
      <c r="H896" s="90">
        <f>H897+H898</f>
        <v>14449.1</v>
      </c>
      <c r="I896" s="422">
        <f>I897+I898</f>
        <v>13629.5</v>
      </c>
      <c r="J896" s="203">
        <f t="shared" si="84"/>
        <v>116.49145299145299</v>
      </c>
      <c r="K896" s="433">
        <f t="shared" si="85"/>
        <v>94.32767438802416</v>
      </c>
    </row>
    <row r="897" spans="1:11" ht="24">
      <c r="A897" s="87" t="s">
        <v>745</v>
      </c>
      <c r="B897" s="82" t="s">
        <v>892</v>
      </c>
      <c r="C897" s="85" t="s">
        <v>1603</v>
      </c>
      <c r="D897" s="85" t="s">
        <v>1795</v>
      </c>
      <c r="E897" s="85" t="s">
        <v>1248</v>
      </c>
      <c r="F897" s="85" t="s">
        <v>746</v>
      </c>
      <c r="G897" s="90">
        <v>11700</v>
      </c>
      <c r="H897" s="90">
        <f>11700+1320+889.1+345-345</f>
        <v>13909.1</v>
      </c>
      <c r="I897" s="422">
        <v>13106</v>
      </c>
      <c r="J897" s="203">
        <f t="shared" si="84"/>
        <v>112.01709401709401</v>
      </c>
      <c r="K897" s="433">
        <f t="shared" si="85"/>
        <v>94.22608220517502</v>
      </c>
    </row>
    <row r="898" spans="1:11" ht="24">
      <c r="A898" s="87" t="s">
        <v>1640</v>
      </c>
      <c r="B898" s="82" t="s">
        <v>892</v>
      </c>
      <c r="C898" s="85" t="s">
        <v>1603</v>
      </c>
      <c r="D898" s="85" t="s">
        <v>1795</v>
      </c>
      <c r="E898" s="85" t="s">
        <v>1248</v>
      </c>
      <c r="F898" s="85" t="s">
        <v>1637</v>
      </c>
      <c r="G898" s="90">
        <f>G899+G900+G901+G902+G903</f>
        <v>0</v>
      </c>
      <c r="H898" s="90">
        <f>H899+H900+H901+H902+H903</f>
        <v>540</v>
      </c>
      <c r="I898" s="422">
        <f>I899+I900+I901+I902+I903</f>
        <v>523.5</v>
      </c>
      <c r="J898" s="203"/>
      <c r="K898" s="433">
        <f t="shared" si="85"/>
        <v>96.94444444444444</v>
      </c>
    </row>
    <row r="899" spans="1:11" ht="24">
      <c r="A899" s="87" t="s">
        <v>1273</v>
      </c>
      <c r="B899" s="82" t="s">
        <v>892</v>
      </c>
      <c r="C899" s="85" t="s">
        <v>1603</v>
      </c>
      <c r="D899" s="85" t="s">
        <v>1795</v>
      </c>
      <c r="E899" s="85" t="s">
        <v>1248</v>
      </c>
      <c r="F899" s="85" t="s">
        <v>1637</v>
      </c>
      <c r="G899" s="90"/>
      <c r="H899" s="90">
        <v>40</v>
      </c>
      <c r="I899" s="422">
        <v>23.5</v>
      </c>
      <c r="J899" s="203"/>
      <c r="K899" s="433">
        <f t="shared" si="85"/>
        <v>58.75</v>
      </c>
    </row>
    <row r="900" spans="1:11" ht="24">
      <c r="A900" s="87" t="s">
        <v>1642</v>
      </c>
      <c r="B900" s="82" t="s">
        <v>892</v>
      </c>
      <c r="C900" s="85" t="s">
        <v>1603</v>
      </c>
      <c r="D900" s="85" t="s">
        <v>1795</v>
      </c>
      <c r="E900" s="85" t="s">
        <v>1248</v>
      </c>
      <c r="F900" s="85" t="s">
        <v>1637</v>
      </c>
      <c r="G900" s="90"/>
      <c r="H900" s="90">
        <v>80</v>
      </c>
      <c r="I900" s="422">
        <v>80</v>
      </c>
      <c r="J900" s="203"/>
      <c r="K900" s="433">
        <f t="shared" si="85"/>
        <v>100</v>
      </c>
    </row>
    <row r="901" spans="1:11" ht="36">
      <c r="A901" s="87" t="s">
        <v>1643</v>
      </c>
      <c r="B901" s="82" t="s">
        <v>892</v>
      </c>
      <c r="C901" s="85" t="s">
        <v>1603</v>
      </c>
      <c r="D901" s="85" t="s">
        <v>1795</v>
      </c>
      <c r="E901" s="85" t="s">
        <v>1248</v>
      </c>
      <c r="F901" s="85" t="s">
        <v>1637</v>
      </c>
      <c r="G901" s="90"/>
      <c r="H901" s="90">
        <v>250</v>
      </c>
      <c r="I901" s="422">
        <v>250</v>
      </c>
      <c r="J901" s="203"/>
      <c r="K901" s="433">
        <f t="shared" si="85"/>
        <v>100</v>
      </c>
    </row>
    <row r="902" spans="1:11" ht="24">
      <c r="A902" s="87" t="s">
        <v>1644</v>
      </c>
      <c r="B902" s="82" t="s">
        <v>892</v>
      </c>
      <c r="C902" s="85" t="s">
        <v>1603</v>
      </c>
      <c r="D902" s="85" t="s">
        <v>1795</v>
      </c>
      <c r="E902" s="85" t="s">
        <v>1248</v>
      </c>
      <c r="F902" s="85" t="s">
        <v>1637</v>
      </c>
      <c r="G902" s="90"/>
      <c r="H902" s="90">
        <v>170</v>
      </c>
      <c r="I902" s="422">
        <v>170</v>
      </c>
      <c r="J902" s="203"/>
      <c r="K902" s="433">
        <f t="shared" si="85"/>
        <v>100</v>
      </c>
    </row>
    <row r="903" spans="1:11" ht="36" hidden="1">
      <c r="A903" s="87" t="s">
        <v>1645</v>
      </c>
      <c r="B903" s="82" t="s">
        <v>892</v>
      </c>
      <c r="C903" s="85" t="s">
        <v>1603</v>
      </c>
      <c r="D903" s="85" t="s">
        <v>1795</v>
      </c>
      <c r="E903" s="85" t="s">
        <v>1248</v>
      </c>
      <c r="F903" s="85" t="s">
        <v>1637</v>
      </c>
      <c r="G903" s="90">
        <f>1000-1000</f>
        <v>0</v>
      </c>
      <c r="H903" s="90">
        <f>1000-1000</f>
        <v>0</v>
      </c>
      <c r="I903" s="422">
        <f>1000-1000</f>
        <v>0</v>
      </c>
      <c r="J903" s="203"/>
      <c r="K903" s="433" t="e">
        <f t="shared" si="85"/>
        <v>#DIV/0!</v>
      </c>
    </row>
    <row r="904" spans="1:11" ht="60">
      <c r="A904" s="87" t="s">
        <v>1722</v>
      </c>
      <c r="B904" s="82" t="s">
        <v>892</v>
      </c>
      <c r="C904" s="85" t="s">
        <v>1603</v>
      </c>
      <c r="D904" s="85" t="s">
        <v>1795</v>
      </c>
      <c r="E904" s="85" t="s">
        <v>1723</v>
      </c>
      <c r="F904" s="85" t="s">
        <v>1071</v>
      </c>
      <c r="G904" s="90">
        <f>G905+G907+G909</f>
        <v>0</v>
      </c>
      <c r="H904" s="90">
        <f>H905+H907+H909</f>
        <v>1580</v>
      </c>
      <c r="I904" s="422">
        <f>I905+I907+I909</f>
        <v>1406.5</v>
      </c>
      <c r="J904" s="203"/>
      <c r="K904" s="433">
        <f t="shared" si="85"/>
        <v>89.01898734177215</v>
      </c>
    </row>
    <row r="905" spans="1:11" ht="24">
      <c r="A905" s="87" t="s">
        <v>1724</v>
      </c>
      <c r="B905" s="82" t="s">
        <v>892</v>
      </c>
      <c r="C905" s="85" t="s">
        <v>1603</v>
      </c>
      <c r="D905" s="85" t="s">
        <v>1795</v>
      </c>
      <c r="E905" s="85" t="s">
        <v>879</v>
      </c>
      <c r="F905" s="85" t="s">
        <v>1071</v>
      </c>
      <c r="G905" s="90">
        <f>G906</f>
        <v>0</v>
      </c>
      <c r="H905" s="90">
        <f>H906</f>
        <v>600</v>
      </c>
      <c r="I905" s="422">
        <f>I906</f>
        <v>455.4</v>
      </c>
      <c r="J905" s="203"/>
      <c r="K905" s="433">
        <f t="shared" si="85"/>
        <v>75.9</v>
      </c>
    </row>
    <row r="906" spans="1:11" ht="24">
      <c r="A906" s="87" t="s">
        <v>87</v>
      </c>
      <c r="B906" s="82" t="s">
        <v>892</v>
      </c>
      <c r="C906" s="85" t="s">
        <v>1603</v>
      </c>
      <c r="D906" s="85" t="s">
        <v>1795</v>
      </c>
      <c r="E906" s="85" t="s">
        <v>879</v>
      </c>
      <c r="F906" s="85" t="s">
        <v>88</v>
      </c>
      <c r="G906" s="90"/>
      <c r="H906" s="90">
        <v>600</v>
      </c>
      <c r="I906" s="422">
        <v>455.4</v>
      </c>
      <c r="J906" s="203"/>
      <c r="K906" s="433">
        <f t="shared" si="85"/>
        <v>75.9</v>
      </c>
    </row>
    <row r="907" spans="1:11" ht="24">
      <c r="A907" s="87" t="s">
        <v>1725</v>
      </c>
      <c r="B907" s="82" t="s">
        <v>892</v>
      </c>
      <c r="C907" s="85" t="s">
        <v>1603</v>
      </c>
      <c r="D907" s="85" t="s">
        <v>1795</v>
      </c>
      <c r="E907" s="85" t="s">
        <v>880</v>
      </c>
      <c r="F907" s="85" t="s">
        <v>1071</v>
      </c>
      <c r="G907" s="90">
        <f>G908</f>
        <v>0</v>
      </c>
      <c r="H907" s="90">
        <f>H908</f>
        <v>980</v>
      </c>
      <c r="I907" s="422">
        <f>I908</f>
        <v>951.1</v>
      </c>
      <c r="J907" s="203"/>
      <c r="K907" s="433">
        <f t="shared" si="85"/>
        <v>97.05102040816327</v>
      </c>
    </row>
    <row r="908" spans="1:11" ht="24">
      <c r="A908" s="87" t="s">
        <v>87</v>
      </c>
      <c r="B908" s="82" t="s">
        <v>892</v>
      </c>
      <c r="C908" s="85" t="s">
        <v>1603</v>
      </c>
      <c r="D908" s="85" t="s">
        <v>1795</v>
      </c>
      <c r="E908" s="85" t="s">
        <v>880</v>
      </c>
      <c r="F908" s="85" t="s">
        <v>88</v>
      </c>
      <c r="G908" s="90"/>
      <c r="H908" s="90">
        <v>980</v>
      </c>
      <c r="I908" s="422">
        <v>951.1</v>
      </c>
      <c r="J908" s="203"/>
      <c r="K908" s="433">
        <f t="shared" si="85"/>
        <v>97.05102040816327</v>
      </c>
    </row>
    <row r="909" spans="1:11" ht="24" hidden="1">
      <c r="A909" s="87" t="s">
        <v>1726</v>
      </c>
      <c r="B909" s="82" t="s">
        <v>892</v>
      </c>
      <c r="C909" s="85" t="s">
        <v>1603</v>
      </c>
      <c r="D909" s="85" t="s">
        <v>1795</v>
      </c>
      <c r="E909" s="85" t="s">
        <v>1727</v>
      </c>
      <c r="F909" s="85" t="s">
        <v>1071</v>
      </c>
      <c r="G909" s="90">
        <f>G910</f>
        <v>0</v>
      </c>
      <c r="H909" s="90">
        <f>H910</f>
        <v>0</v>
      </c>
      <c r="I909" s="422">
        <f>I910</f>
        <v>0</v>
      </c>
      <c r="J909" s="203"/>
      <c r="K909" s="433" t="e">
        <f t="shared" si="85"/>
        <v>#DIV/0!</v>
      </c>
    </row>
    <row r="910" spans="1:11" ht="15.75" hidden="1">
      <c r="A910" s="87" t="s">
        <v>87</v>
      </c>
      <c r="B910" s="82" t="s">
        <v>892</v>
      </c>
      <c r="C910" s="85" t="s">
        <v>1603</v>
      </c>
      <c r="D910" s="85" t="s">
        <v>1795</v>
      </c>
      <c r="E910" s="85" t="s">
        <v>1727</v>
      </c>
      <c r="F910" s="85" t="s">
        <v>88</v>
      </c>
      <c r="G910" s="90"/>
      <c r="H910" s="90"/>
      <c r="I910" s="422"/>
      <c r="J910" s="203"/>
      <c r="K910" s="433" t="e">
        <f t="shared" si="85"/>
        <v>#DIV/0!</v>
      </c>
    </row>
    <row r="911" spans="1:11" ht="24">
      <c r="A911" s="86" t="s">
        <v>909</v>
      </c>
      <c r="B911" s="82" t="s">
        <v>892</v>
      </c>
      <c r="C911" s="85" t="s">
        <v>1603</v>
      </c>
      <c r="D911" s="85" t="s">
        <v>1795</v>
      </c>
      <c r="E911" s="85" t="s">
        <v>910</v>
      </c>
      <c r="F911" s="85"/>
      <c r="G911" s="90">
        <f aca="true" t="shared" si="87" ref="G911:I912">G912</f>
        <v>0</v>
      </c>
      <c r="H911" s="90">
        <f t="shared" si="87"/>
        <v>2370</v>
      </c>
      <c r="I911" s="422">
        <f t="shared" si="87"/>
        <v>2109.7</v>
      </c>
      <c r="J911" s="203"/>
      <c r="K911" s="433">
        <f t="shared" si="85"/>
        <v>89.0168776371308</v>
      </c>
    </row>
    <row r="912" spans="1:11" ht="48">
      <c r="A912" s="111" t="s">
        <v>1274</v>
      </c>
      <c r="B912" s="82" t="s">
        <v>892</v>
      </c>
      <c r="C912" s="85" t="s">
        <v>1603</v>
      </c>
      <c r="D912" s="85" t="s">
        <v>1795</v>
      </c>
      <c r="E912" s="85" t="s">
        <v>739</v>
      </c>
      <c r="F912" s="109" t="s">
        <v>1071</v>
      </c>
      <c r="G912" s="90">
        <f t="shared" si="87"/>
        <v>0</v>
      </c>
      <c r="H912" s="90">
        <f t="shared" si="87"/>
        <v>2370</v>
      </c>
      <c r="I912" s="422">
        <f t="shared" si="87"/>
        <v>2109.7</v>
      </c>
      <c r="J912" s="203"/>
      <c r="K912" s="433">
        <f t="shared" si="85"/>
        <v>89.0168776371308</v>
      </c>
    </row>
    <row r="913" spans="1:11" ht="24">
      <c r="A913" s="87" t="s">
        <v>1836</v>
      </c>
      <c r="B913" s="82" t="s">
        <v>892</v>
      </c>
      <c r="C913" s="85" t="s">
        <v>1603</v>
      </c>
      <c r="D913" s="85" t="s">
        <v>1795</v>
      </c>
      <c r="E913" s="85" t="s">
        <v>739</v>
      </c>
      <c r="F913" s="109" t="s">
        <v>1837</v>
      </c>
      <c r="G913" s="90"/>
      <c r="H913" s="90">
        <v>2370</v>
      </c>
      <c r="I913" s="422">
        <v>2109.7</v>
      </c>
      <c r="J913" s="203"/>
      <c r="K913" s="433">
        <f t="shared" si="85"/>
        <v>89.0168776371308</v>
      </c>
    </row>
    <row r="914" spans="1:11" ht="15">
      <c r="A914" s="91" t="s">
        <v>1249</v>
      </c>
      <c r="B914" s="82" t="s">
        <v>892</v>
      </c>
      <c r="C914" s="85" t="s">
        <v>1603</v>
      </c>
      <c r="D914" s="85" t="s">
        <v>1250</v>
      </c>
      <c r="E914" s="85"/>
      <c r="F914" s="109"/>
      <c r="G914" s="90">
        <f>G915+G917+G919+G928+G930</f>
        <v>2644</v>
      </c>
      <c r="H914" s="90">
        <f>H915+H917+H919+H928+H930</f>
        <v>13536.4</v>
      </c>
      <c r="I914" s="422">
        <f>I915+I917+I919+I928+I930</f>
        <v>13079</v>
      </c>
      <c r="J914" s="421" t="s">
        <v>1212</v>
      </c>
      <c r="K914" s="433">
        <f t="shared" si="85"/>
        <v>96.62096273750775</v>
      </c>
    </row>
    <row r="915" spans="1:11" ht="24" hidden="1">
      <c r="A915" s="86" t="s">
        <v>1251</v>
      </c>
      <c r="B915" s="82" t="s">
        <v>892</v>
      </c>
      <c r="C915" s="85" t="s">
        <v>1603</v>
      </c>
      <c r="D915" s="85" t="s">
        <v>1083</v>
      </c>
      <c r="E915" s="85" t="s">
        <v>1252</v>
      </c>
      <c r="F915" s="109"/>
      <c r="G915" s="90">
        <f>G916</f>
        <v>0</v>
      </c>
      <c r="H915" s="90">
        <f>H916</f>
        <v>0</v>
      </c>
      <c r="I915" s="422">
        <f>I916</f>
        <v>0</v>
      </c>
      <c r="J915" s="203"/>
      <c r="K915" s="433" t="e">
        <f t="shared" si="85"/>
        <v>#DIV/0!</v>
      </c>
    </row>
    <row r="916" spans="1:11" ht="15.75" hidden="1">
      <c r="A916" s="92" t="s">
        <v>1253</v>
      </c>
      <c r="B916" s="82" t="s">
        <v>892</v>
      </c>
      <c r="C916" s="85" t="s">
        <v>1603</v>
      </c>
      <c r="D916" s="85" t="s">
        <v>1083</v>
      </c>
      <c r="E916" s="85" t="s">
        <v>1252</v>
      </c>
      <c r="F916" s="109" t="s">
        <v>1254</v>
      </c>
      <c r="G916" s="90"/>
      <c r="H916" s="90"/>
      <c r="I916" s="422"/>
      <c r="J916" s="203"/>
      <c r="K916" s="433" t="e">
        <f t="shared" si="85"/>
        <v>#DIV/0!</v>
      </c>
    </row>
    <row r="917" spans="1:11" ht="24" hidden="1">
      <c r="A917" s="93" t="s">
        <v>900</v>
      </c>
      <c r="B917" s="82" t="s">
        <v>892</v>
      </c>
      <c r="C917" s="85" t="s">
        <v>1603</v>
      </c>
      <c r="D917" s="85" t="s">
        <v>1250</v>
      </c>
      <c r="E917" s="85" t="s">
        <v>1252</v>
      </c>
      <c r="F917" s="109"/>
      <c r="G917" s="90">
        <f>G918</f>
        <v>0</v>
      </c>
      <c r="H917" s="90">
        <f>H918</f>
        <v>0</v>
      </c>
      <c r="I917" s="422">
        <f>I918</f>
        <v>0</v>
      </c>
      <c r="J917" s="203"/>
      <c r="K917" s="433" t="e">
        <f t="shared" si="85"/>
        <v>#DIV/0!</v>
      </c>
    </row>
    <row r="918" spans="1:11" ht="15.75" hidden="1">
      <c r="A918" s="95" t="s">
        <v>171</v>
      </c>
      <c r="B918" s="82" t="s">
        <v>892</v>
      </c>
      <c r="C918" s="85" t="s">
        <v>1603</v>
      </c>
      <c r="D918" s="85" t="s">
        <v>1250</v>
      </c>
      <c r="E918" s="85" t="s">
        <v>1252</v>
      </c>
      <c r="F918" s="109" t="s">
        <v>436</v>
      </c>
      <c r="G918" s="90"/>
      <c r="H918" s="90"/>
      <c r="I918" s="422"/>
      <c r="J918" s="203"/>
      <c r="K918" s="433" t="e">
        <f t="shared" si="85"/>
        <v>#DIV/0!</v>
      </c>
    </row>
    <row r="919" spans="1:11" ht="24">
      <c r="A919" s="86" t="s">
        <v>1255</v>
      </c>
      <c r="B919" s="82" t="s">
        <v>892</v>
      </c>
      <c r="C919" s="85" t="s">
        <v>1603</v>
      </c>
      <c r="D919" s="85" t="s">
        <v>1250</v>
      </c>
      <c r="E919" s="85" t="s">
        <v>1256</v>
      </c>
      <c r="F919" s="85"/>
      <c r="G919" s="90">
        <f>G923+G920</f>
        <v>1644</v>
      </c>
      <c r="H919" s="90">
        <f>H923+H920+H926</f>
        <v>8536.4</v>
      </c>
      <c r="I919" s="422">
        <f>I923+I920+I926</f>
        <v>8079</v>
      </c>
      <c r="J919" s="421" t="s">
        <v>1212</v>
      </c>
      <c r="K919" s="433">
        <f t="shared" si="85"/>
        <v>94.64176936413476</v>
      </c>
    </row>
    <row r="920" spans="1:11" ht="24">
      <c r="A920" s="95" t="s">
        <v>1257</v>
      </c>
      <c r="B920" s="82" t="s">
        <v>892</v>
      </c>
      <c r="C920" s="85" t="s">
        <v>1603</v>
      </c>
      <c r="D920" s="85" t="s">
        <v>1250</v>
      </c>
      <c r="E920" s="85" t="s">
        <v>1258</v>
      </c>
      <c r="F920" s="109" t="s">
        <v>1071</v>
      </c>
      <c r="G920" s="90">
        <f>G921+G922</f>
        <v>992</v>
      </c>
      <c r="H920" s="90">
        <f>H921+H922</f>
        <v>1492</v>
      </c>
      <c r="I920" s="422">
        <f>I921+I922</f>
        <v>1054.9</v>
      </c>
      <c r="J920" s="203">
        <f>I920/G920*100</f>
        <v>106.34072580645162</v>
      </c>
      <c r="K920" s="433">
        <f t="shared" si="85"/>
        <v>70.70375335120644</v>
      </c>
    </row>
    <row r="921" spans="1:11" ht="24">
      <c r="A921" s="87" t="s">
        <v>1836</v>
      </c>
      <c r="B921" s="82" t="s">
        <v>892</v>
      </c>
      <c r="C921" s="85" t="s">
        <v>1603</v>
      </c>
      <c r="D921" s="85" t="s">
        <v>1250</v>
      </c>
      <c r="E921" s="85" t="s">
        <v>1258</v>
      </c>
      <c r="F921" s="109" t="s">
        <v>1837</v>
      </c>
      <c r="G921" s="90"/>
      <c r="H921" s="90">
        <f>992+500+364.9-364.9</f>
        <v>1492</v>
      </c>
      <c r="I921" s="422">
        <v>1054.9</v>
      </c>
      <c r="J921" s="203"/>
      <c r="K921" s="433">
        <f t="shared" si="85"/>
        <v>70.70375335120644</v>
      </c>
    </row>
    <row r="922" spans="1:11" ht="24">
      <c r="A922" s="358" t="s">
        <v>171</v>
      </c>
      <c r="B922" s="82" t="s">
        <v>892</v>
      </c>
      <c r="C922" s="85" t="s">
        <v>1603</v>
      </c>
      <c r="D922" s="85" t="s">
        <v>1250</v>
      </c>
      <c r="E922" s="85" t="s">
        <v>1258</v>
      </c>
      <c r="F922" s="109" t="s">
        <v>436</v>
      </c>
      <c r="G922" s="90">
        <v>992</v>
      </c>
      <c r="H922" s="90"/>
      <c r="I922" s="422"/>
      <c r="J922" s="203">
        <f>I922/G922*100</f>
        <v>0</v>
      </c>
      <c r="K922" s="433"/>
    </row>
    <row r="923" spans="1:11" ht="48">
      <c r="A923" s="87" t="s">
        <v>1259</v>
      </c>
      <c r="B923" s="82" t="s">
        <v>892</v>
      </c>
      <c r="C923" s="85" t="s">
        <v>1603</v>
      </c>
      <c r="D923" s="85" t="s">
        <v>1250</v>
      </c>
      <c r="E923" s="85" t="s">
        <v>311</v>
      </c>
      <c r="F923" s="85" t="s">
        <v>1071</v>
      </c>
      <c r="G923" s="90">
        <f aca="true" t="shared" si="88" ref="G923:I924">G924</f>
        <v>652</v>
      </c>
      <c r="H923" s="90">
        <f t="shared" si="88"/>
        <v>534.4</v>
      </c>
      <c r="I923" s="422">
        <f t="shared" si="88"/>
        <v>514.1</v>
      </c>
      <c r="J923" s="203">
        <f>I923/G923*100</f>
        <v>78.84969325153375</v>
      </c>
      <c r="K923" s="433">
        <f t="shared" si="85"/>
        <v>96.20134730538923</v>
      </c>
    </row>
    <row r="924" spans="1:11" ht="24">
      <c r="A924" s="87" t="s">
        <v>743</v>
      </c>
      <c r="B924" s="82" t="s">
        <v>892</v>
      </c>
      <c r="C924" s="85" t="s">
        <v>1603</v>
      </c>
      <c r="D924" s="85" t="s">
        <v>1250</v>
      </c>
      <c r="E924" s="85" t="s">
        <v>311</v>
      </c>
      <c r="F924" s="85" t="s">
        <v>744</v>
      </c>
      <c r="G924" s="90">
        <f t="shared" si="88"/>
        <v>652</v>
      </c>
      <c r="H924" s="90">
        <f t="shared" si="88"/>
        <v>534.4</v>
      </c>
      <c r="I924" s="422">
        <f t="shared" si="88"/>
        <v>514.1</v>
      </c>
      <c r="J924" s="203">
        <f>I924/G924*100</f>
        <v>78.84969325153375</v>
      </c>
      <c r="K924" s="433">
        <f t="shared" si="85"/>
        <v>96.20134730538923</v>
      </c>
    </row>
    <row r="925" spans="1:11" ht="24">
      <c r="A925" s="87" t="s">
        <v>745</v>
      </c>
      <c r="B925" s="82" t="s">
        <v>892</v>
      </c>
      <c r="C925" s="85" t="s">
        <v>1603</v>
      </c>
      <c r="D925" s="85" t="s">
        <v>1250</v>
      </c>
      <c r="E925" s="85" t="s">
        <v>311</v>
      </c>
      <c r="F925" s="85" t="s">
        <v>746</v>
      </c>
      <c r="G925" s="90">
        <v>652</v>
      </c>
      <c r="H925" s="90">
        <f>652-117.6</f>
        <v>534.4</v>
      </c>
      <c r="I925" s="422">
        <v>514.1</v>
      </c>
      <c r="J925" s="203">
        <f>I925/G925*100</f>
        <v>78.84969325153375</v>
      </c>
      <c r="K925" s="433">
        <f t="shared" si="85"/>
        <v>96.20134730538923</v>
      </c>
    </row>
    <row r="926" spans="1:11" ht="24">
      <c r="A926" s="87" t="s">
        <v>882</v>
      </c>
      <c r="B926" s="82" t="s">
        <v>892</v>
      </c>
      <c r="C926" s="85" t="s">
        <v>1603</v>
      </c>
      <c r="D926" s="85" t="s">
        <v>1250</v>
      </c>
      <c r="E926" s="85" t="s">
        <v>881</v>
      </c>
      <c r="F926" s="85" t="s">
        <v>1071</v>
      </c>
      <c r="G926" s="90"/>
      <c r="H926" s="90">
        <f>H927</f>
        <v>6510</v>
      </c>
      <c r="I926" s="422">
        <f>I927</f>
        <v>6510</v>
      </c>
      <c r="J926" s="203"/>
      <c r="K926" s="433">
        <f t="shared" si="85"/>
        <v>100</v>
      </c>
    </row>
    <row r="927" spans="1:11" ht="36">
      <c r="A927" s="92" t="s">
        <v>185</v>
      </c>
      <c r="B927" s="82" t="s">
        <v>892</v>
      </c>
      <c r="C927" s="85" t="s">
        <v>1603</v>
      </c>
      <c r="D927" s="85" t="s">
        <v>1250</v>
      </c>
      <c r="E927" s="85" t="s">
        <v>881</v>
      </c>
      <c r="F927" s="85" t="s">
        <v>186</v>
      </c>
      <c r="G927" s="90"/>
      <c r="H927" s="90">
        <v>6510</v>
      </c>
      <c r="I927" s="422">
        <v>6510</v>
      </c>
      <c r="J927" s="203"/>
      <c r="K927" s="433">
        <f t="shared" si="85"/>
        <v>100</v>
      </c>
    </row>
    <row r="928" spans="1:11" ht="36">
      <c r="A928" s="87" t="s">
        <v>1731</v>
      </c>
      <c r="B928" s="82" t="s">
        <v>892</v>
      </c>
      <c r="C928" s="85" t="s">
        <v>1603</v>
      </c>
      <c r="D928" s="85" t="s">
        <v>1250</v>
      </c>
      <c r="E928" s="85" t="s">
        <v>574</v>
      </c>
      <c r="F928" s="85" t="s">
        <v>1071</v>
      </c>
      <c r="G928" s="90">
        <f>G929</f>
        <v>0</v>
      </c>
      <c r="H928" s="90">
        <f>H929</f>
        <v>4000</v>
      </c>
      <c r="I928" s="422">
        <f>I929</f>
        <v>4000</v>
      </c>
      <c r="J928" s="203"/>
      <c r="K928" s="433">
        <f t="shared" si="85"/>
        <v>100</v>
      </c>
    </row>
    <row r="929" spans="1:11" ht="36">
      <c r="A929" s="92" t="s">
        <v>185</v>
      </c>
      <c r="B929" s="82" t="s">
        <v>892</v>
      </c>
      <c r="C929" s="85" t="s">
        <v>1603</v>
      </c>
      <c r="D929" s="85" t="s">
        <v>1250</v>
      </c>
      <c r="E929" s="85" t="s">
        <v>574</v>
      </c>
      <c r="F929" s="85" t="s">
        <v>186</v>
      </c>
      <c r="G929" s="90"/>
      <c r="H929" s="90">
        <v>4000</v>
      </c>
      <c r="I929" s="422">
        <v>4000</v>
      </c>
      <c r="J929" s="203"/>
      <c r="K929" s="433">
        <f t="shared" si="85"/>
        <v>100</v>
      </c>
    </row>
    <row r="930" spans="1:11" ht="24">
      <c r="A930" s="86" t="s">
        <v>909</v>
      </c>
      <c r="B930" s="82" t="s">
        <v>892</v>
      </c>
      <c r="C930" s="85" t="s">
        <v>1603</v>
      </c>
      <c r="D930" s="85" t="s">
        <v>1250</v>
      </c>
      <c r="E930" s="85" t="s">
        <v>910</v>
      </c>
      <c r="F930" s="85"/>
      <c r="G930" s="90">
        <f>G931</f>
        <v>1000</v>
      </c>
      <c r="H930" s="90">
        <f>H931</f>
        <v>1000</v>
      </c>
      <c r="I930" s="422">
        <f>I931</f>
        <v>1000</v>
      </c>
      <c r="J930" s="203">
        <f>I930/G930*100</f>
        <v>100</v>
      </c>
      <c r="K930" s="433">
        <f t="shared" si="85"/>
        <v>100</v>
      </c>
    </row>
    <row r="931" spans="1:11" ht="24">
      <c r="A931" s="87" t="s">
        <v>225</v>
      </c>
      <c r="B931" s="82" t="s">
        <v>892</v>
      </c>
      <c r="C931" s="85" t="s">
        <v>1603</v>
      </c>
      <c r="D931" s="85" t="s">
        <v>1250</v>
      </c>
      <c r="E931" s="85" t="s">
        <v>1732</v>
      </c>
      <c r="F931" s="85" t="s">
        <v>1071</v>
      </c>
      <c r="G931" s="90">
        <f>G932+G933</f>
        <v>1000</v>
      </c>
      <c r="H931" s="90">
        <f>H932+H933</f>
        <v>1000</v>
      </c>
      <c r="I931" s="422">
        <f>I932+I933</f>
        <v>1000</v>
      </c>
      <c r="J931" s="203">
        <f>I931/G931*100</f>
        <v>100</v>
      </c>
      <c r="K931" s="433">
        <f t="shared" si="85"/>
        <v>100</v>
      </c>
    </row>
    <row r="932" spans="1:11" ht="24">
      <c r="A932" s="87" t="s">
        <v>924</v>
      </c>
      <c r="B932" s="82" t="s">
        <v>892</v>
      </c>
      <c r="C932" s="85" t="s">
        <v>1603</v>
      </c>
      <c r="D932" s="85" t="s">
        <v>1250</v>
      </c>
      <c r="E932" s="85" t="s">
        <v>1732</v>
      </c>
      <c r="F932" s="85" t="s">
        <v>1881</v>
      </c>
      <c r="G932" s="90">
        <v>1000</v>
      </c>
      <c r="H932" s="90"/>
      <c r="I932" s="422"/>
      <c r="J932" s="203">
        <f>I932/G932*100</f>
        <v>0</v>
      </c>
      <c r="K932" s="433"/>
    </row>
    <row r="933" spans="1:11" ht="36">
      <c r="A933" s="87" t="s">
        <v>185</v>
      </c>
      <c r="B933" s="82" t="s">
        <v>892</v>
      </c>
      <c r="C933" s="85" t="s">
        <v>1603</v>
      </c>
      <c r="D933" s="85" t="s">
        <v>1250</v>
      </c>
      <c r="E933" s="85" t="s">
        <v>1732</v>
      </c>
      <c r="F933" s="85" t="s">
        <v>186</v>
      </c>
      <c r="G933" s="90"/>
      <c r="H933" s="90">
        <v>1000</v>
      </c>
      <c r="I933" s="422">
        <v>1000</v>
      </c>
      <c r="J933" s="203"/>
      <c r="K933" s="433">
        <f t="shared" si="85"/>
        <v>100</v>
      </c>
    </row>
    <row r="934" spans="1:11" ht="15">
      <c r="A934" s="88" t="s">
        <v>312</v>
      </c>
      <c r="B934" s="82" t="s">
        <v>892</v>
      </c>
      <c r="C934" s="85" t="s">
        <v>172</v>
      </c>
      <c r="D934" s="85"/>
      <c r="E934" s="85"/>
      <c r="F934" s="109"/>
      <c r="G934" s="90">
        <f>G935+G982+G1007</f>
        <v>208042.8</v>
      </c>
      <c r="H934" s="90">
        <f>H935+H982+H1007</f>
        <v>307188.522</v>
      </c>
      <c r="I934" s="422">
        <f>I935+I982+I1007</f>
        <v>294154.9</v>
      </c>
      <c r="J934" s="203">
        <f>I934/G934*100</f>
        <v>141.39153097343433</v>
      </c>
      <c r="K934" s="433">
        <f t="shared" si="85"/>
        <v>95.75712597751294</v>
      </c>
    </row>
    <row r="935" spans="1:11" ht="15">
      <c r="A935" s="91" t="s">
        <v>1286</v>
      </c>
      <c r="B935" s="82" t="s">
        <v>892</v>
      </c>
      <c r="C935" s="85" t="s">
        <v>172</v>
      </c>
      <c r="D935" s="85" t="s">
        <v>141</v>
      </c>
      <c r="E935" s="85"/>
      <c r="F935" s="109"/>
      <c r="G935" s="90">
        <f>G936+G941+G946+G949+G951+G963+G970+G976+G979</f>
        <v>40900</v>
      </c>
      <c r="H935" s="90">
        <f>H936+H941+H946+H949+H951+H963+H970+H976+H979</f>
        <v>77932.02200000001</v>
      </c>
      <c r="I935" s="422">
        <f>I936+I941+I946+I949+I951+I963+I970+I976+I979</f>
        <v>71877.00000000001</v>
      </c>
      <c r="J935" s="421" t="s">
        <v>1212</v>
      </c>
      <c r="K935" s="433">
        <f t="shared" si="85"/>
        <v>92.23037995857467</v>
      </c>
    </row>
    <row r="936" spans="1:11" ht="36">
      <c r="A936" s="86" t="s">
        <v>313</v>
      </c>
      <c r="B936" s="82" t="s">
        <v>892</v>
      </c>
      <c r="C936" s="109" t="s">
        <v>172</v>
      </c>
      <c r="D936" s="109" t="s">
        <v>141</v>
      </c>
      <c r="E936" s="109" t="s">
        <v>314</v>
      </c>
      <c r="F936" s="109"/>
      <c r="G936" s="90">
        <f>G937+G939</f>
        <v>0</v>
      </c>
      <c r="H936" s="90">
        <f>H937+H939</f>
        <v>37032.122</v>
      </c>
      <c r="I936" s="422">
        <f>I937+I939</f>
        <v>37032.100000000006</v>
      </c>
      <c r="J936" s="203"/>
      <c r="K936" s="433">
        <f t="shared" si="85"/>
        <v>99.99994059211622</v>
      </c>
    </row>
    <row r="937" spans="1:11" ht="36">
      <c r="A937" s="92" t="s">
        <v>315</v>
      </c>
      <c r="B937" s="82" t="s">
        <v>892</v>
      </c>
      <c r="C937" s="109" t="s">
        <v>172</v>
      </c>
      <c r="D937" s="109" t="s">
        <v>141</v>
      </c>
      <c r="E937" s="109" t="s">
        <v>316</v>
      </c>
      <c r="F937" s="109" t="s">
        <v>1071</v>
      </c>
      <c r="G937" s="90">
        <f>G938</f>
        <v>0</v>
      </c>
      <c r="H937" s="90">
        <f>H938</f>
        <v>18517.422</v>
      </c>
      <c r="I937" s="422">
        <f>I938</f>
        <v>18517.4</v>
      </c>
      <c r="J937" s="203"/>
      <c r="K937" s="433">
        <f t="shared" si="85"/>
        <v>99.9998811929652</v>
      </c>
    </row>
    <row r="938" spans="1:11" ht="36">
      <c r="A938" s="92" t="s">
        <v>185</v>
      </c>
      <c r="B938" s="82" t="s">
        <v>892</v>
      </c>
      <c r="C938" s="109" t="s">
        <v>172</v>
      </c>
      <c r="D938" s="109" t="s">
        <v>141</v>
      </c>
      <c r="E938" s="109" t="s">
        <v>316</v>
      </c>
      <c r="F938" s="109" t="s">
        <v>186</v>
      </c>
      <c r="G938" s="90"/>
      <c r="H938" s="90">
        <f>5554.2+12959.9+0.1+3.222</f>
        <v>18517.422</v>
      </c>
      <c r="I938" s="422">
        <v>18517.4</v>
      </c>
      <c r="J938" s="203"/>
      <c r="K938" s="433">
        <f t="shared" si="85"/>
        <v>99.9998811929652</v>
      </c>
    </row>
    <row r="939" spans="1:11" ht="24">
      <c r="A939" s="92" t="s">
        <v>317</v>
      </c>
      <c r="B939" s="82" t="s">
        <v>892</v>
      </c>
      <c r="C939" s="85" t="s">
        <v>172</v>
      </c>
      <c r="D939" s="85" t="s">
        <v>141</v>
      </c>
      <c r="E939" s="85" t="s">
        <v>318</v>
      </c>
      <c r="F939" s="109" t="s">
        <v>1071</v>
      </c>
      <c r="G939" s="90">
        <f>G940</f>
        <v>0</v>
      </c>
      <c r="H939" s="90">
        <f>H940</f>
        <v>18514.7</v>
      </c>
      <c r="I939" s="422">
        <f>I940</f>
        <v>18514.7</v>
      </c>
      <c r="J939" s="203"/>
      <c r="K939" s="433">
        <f t="shared" si="85"/>
        <v>100</v>
      </c>
    </row>
    <row r="940" spans="1:11" ht="36">
      <c r="A940" s="92" t="s">
        <v>185</v>
      </c>
      <c r="B940" s="82" t="s">
        <v>892</v>
      </c>
      <c r="C940" s="85" t="s">
        <v>172</v>
      </c>
      <c r="D940" s="85" t="s">
        <v>141</v>
      </c>
      <c r="E940" s="85" t="s">
        <v>318</v>
      </c>
      <c r="F940" s="109" t="s">
        <v>186</v>
      </c>
      <c r="G940" s="90"/>
      <c r="H940" s="90">
        <f>9258.1-1+9257.1+0.5</f>
        <v>18514.7</v>
      </c>
      <c r="I940" s="422">
        <v>18514.7</v>
      </c>
      <c r="J940" s="203"/>
      <c r="K940" s="433">
        <f t="shared" si="85"/>
        <v>100</v>
      </c>
    </row>
    <row r="941" spans="1:11" ht="15.75" hidden="1">
      <c r="A941" s="92" t="s">
        <v>321</v>
      </c>
      <c r="B941" s="82" t="s">
        <v>892</v>
      </c>
      <c r="C941" s="85" t="s">
        <v>172</v>
      </c>
      <c r="D941" s="85" t="s">
        <v>141</v>
      </c>
      <c r="E941" s="85" t="s">
        <v>322</v>
      </c>
      <c r="F941" s="109"/>
      <c r="G941" s="90">
        <f aca="true" t="shared" si="89" ref="G941:I942">G942</f>
        <v>0</v>
      </c>
      <c r="H941" s="90">
        <f t="shared" si="89"/>
        <v>0</v>
      </c>
      <c r="I941" s="422">
        <f t="shared" si="89"/>
        <v>0</v>
      </c>
      <c r="J941" s="203" t="e">
        <f aca="true" t="shared" si="90" ref="J941:J955">I941/G941*100</f>
        <v>#DIV/0!</v>
      </c>
      <c r="K941" s="433" t="e">
        <f t="shared" si="85"/>
        <v>#DIV/0!</v>
      </c>
    </row>
    <row r="942" spans="1:11" ht="24" hidden="1">
      <c r="A942" s="92" t="s">
        <v>901</v>
      </c>
      <c r="B942" s="82" t="s">
        <v>892</v>
      </c>
      <c r="C942" s="85" t="s">
        <v>172</v>
      </c>
      <c r="D942" s="85" t="s">
        <v>141</v>
      </c>
      <c r="E942" s="85" t="s">
        <v>324</v>
      </c>
      <c r="F942" s="109"/>
      <c r="G942" s="90">
        <f t="shared" si="89"/>
        <v>0</v>
      </c>
      <c r="H942" s="90">
        <f t="shared" si="89"/>
        <v>0</v>
      </c>
      <c r="I942" s="422">
        <f t="shared" si="89"/>
        <v>0</v>
      </c>
      <c r="J942" s="203" t="e">
        <f t="shared" si="90"/>
        <v>#DIV/0!</v>
      </c>
      <c r="K942" s="433" t="e">
        <f t="shared" si="85"/>
        <v>#DIV/0!</v>
      </c>
    </row>
    <row r="943" spans="1:11" ht="24" hidden="1">
      <c r="A943" s="92" t="s">
        <v>325</v>
      </c>
      <c r="B943" s="82" t="s">
        <v>892</v>
      </c>
      <c r="C943" s="85" t="s">
        <v>172</v>
      </c>
      <c r="D943" s="85" t="s">
        <v>141</v>
      </c>
      <c r="E943" s="85" t="s">
        <v>324</v>
      </c>
      <c r="F943" s="109" t="s">
        <v>326</v>
      </c>
      <c r="G943" s="90"/>
      <c r="H943" s="90"/>
      <c r="I943" s="422"/>
      <c r="J943" s="203" t="e">
        <f t="shared" si="90"/>
        <v>#DIV/0!</v>
      </c>
      <c r="K943" s="433" t="e">
        <f t="shared" si="85"/>
        <v>#DIV/0!</v>
      </c>
    </row>
    <row r="944" spans="1:11" ht="60" hidden="1">
      <c r="A944" s="92" t="s">
        <v>219</v>
      </c>
      <c r="B944" s="82" t="s">
        <v>892</v>
      </c>
      <c r="C944" s="85" t="s">
        <v>172</v>
      </c>
      <c r="D944" s="85" t="s">
        <v>141</v>
      </c>
      <c r="E944" s="85" t="s">
        <v>324</v>
      </c>
      <c r="F944" s="109" t="s">
        <v>326</v>
      </c>
      <c r="G944" s="90"/>
      <c r="H944" s="90"/>
      <c r="I944" s="422"/>
      <c r="J944" s="203" t="e">
        <f t="shared" si="90"/>
        <v>#DIV/0!</v>
      </c>
      <c r="K944" s="433" t="e">
        <f t="shared" si="85"/>
        <v>#DIV/0!</v>
      </c>
    </row>
    <row r="945" spans="1:11" ht="60" hidden="1">
      <c r="A945" s="92" t="s">
        <v>888</v>
      </c>
      <c r="B945" s="82" t="s">
        <v>892</v>
      </c>
      <c r="C945" s="85" t="s">
        <v>172</v>
      </c>
      <c r="D945" s="85" t="s">
        <v>141</v>
      </c>
      <c r="E945" s="85" t="s">
        <v>324</v>
      </c>
      <c r="F945" s="109" t="s">
        <v>326</v>
      </c>
      <c r="G945" s="90"/>
      <c r="H945" s="90"/>
      <c r="I945" s="422"/>
      <c r="J945" s="203" t="e">
        <f t="shared" si="90"/>
        <v>#DIV/0!</v>
      </c>
      <c r="K945" s="433" t="e">
        <f t="shared" si="85"/>
        <v>#DIV/0!</v>
      </c>
    </row>
    <row r="946" spans="1:11" ht="24" hidden="1">
      <c r="A946" s="92" t="s">
        <v>220</v>
      </c>
      <c r="B946" s="82" t="s">
        <v>892</v>
      </c>
      <c r="C946" s="109" t="s">
        <v>172</v>
      </c>
      <c r="D946" s="109" t="s">
        <v>141</v>
      </c>
      <c r="E946" s="85" t="s">
        <v>936</v>
      </c>
      <c r="F946" s="109"/>
      <c r="G946" s="90">
        <f aca="true" t="shared" si="91" ref="G946:I947">G947</f>
        <v>0</v>
      </c>
      <c r="H946" s="90">
        <f t="shared" si="91"/>
        <v>0</v>
      </c>
      <c r="I946" s="422">
        <f t="shared" si="91"/>
        <v>0</v>
      </c>
      <c r="J946" s="203" t="e">
        <f t="shared" si="90"/>
        <v>#DIV/0!</v>
      </c>
      <c r="K946" s="433" t="e">
        <f t="shared" si="85"/>
        <v>#DIV/0!</v>
      </c>
    </row>
    <row r="947" spans="1:11" ht="24" hidden="1">
      <c r="A947" s="86" t="s">
        <v>937</v>
      </c>
      <c r="B947" s="82" t="s">
        <v>892</v>
      </c>
      <c r="C947" s="109" t="s">
        <v>172</v>
      </c>
      <c r="D947" s="109" t="s">
        <v>141</v>
      </c>
      <c r="E947" s="109" t="s">
        <v>1049</v>
      </c>
      <c r="F947" s="109"/>
      <c r="G947" s="90">
        <f t="shared" si="91"/>
        <v>0</v>
      </c>
      <c r="H947" s="90">
        <f t="shared" si="91"/>
        <v>0</v>
      </c>
      <c r="I947" s="422">
        <f t="shared" si="91"/>
        <v>0</v>
      </c>
      <c r="J947" s="203" t="e">
        <f t="shared" si="90"/>
        <v>#DIV/0!</v>
      </c>
      <c r="K947" s="433" t="e">
        <f t="shared" si="85"/>
        <v>#DIV/0!</v>
      </c>
    </row>
    <row r="948" spans="1:11" ht="24" hidden="1">
      <c r="A948" s="92" t="s">
        <v>1275</v>
      </c>
      <c r="B948" s="82" t="s">
        <v>892</v>
      </c>
      <c r="C948" s="109" t="s">
        <v>172</v>
      </c>
      <c r="D948" s="109" t="s">
        <v>141</v>
      </c>
      <c r="E948" s="109" t="s">
        <v>1049</v>
      </c>
      <c r="F948" s="109" t="s">
        <v>1879</v>
      </c>
      <c r="G948" s="90">
        <f>42000-42000</f>
        <v>0</v>
      </c>
      <c r="H948" s="90">
        <f>42000-42000</f>
        <v>0</v>
      </c>
      <c r="I948" s="422">
        <f>42000-42000</f>
        <v>0</v>
      </c>
      <c r="J948" s="203" t="e">
        <f t="shared" si="90"/>
        <v>#DIV/0!</v>
      </c>
      <c r="K948" s="433" t="e">
        <f t="shared" si="85"/>
        <v>#DIV/0!</v>
      </c>
    </row>
    <row r="949" spans="1:11" ht="24" hidden="1">
      <c r="A949" s="354" t="s">
        <v>937</v>
      </c>
      <c r="B949" s="82" t="s">
        <v>892</v>
      </c>
      <c r="C949" s="353" t="s">
        <v>172</v>
      </c>
      <c r="D949" s="353" t="s">
        <v>141</v>
      </c>
      <c r="E949" s="353" t="s">
        <v>1049</v>
      </c>
      <c r="F949" s="353" t="s">
        <v>1071</v>
      </c>
      <c r="G949" s="90">
        <f>G950</f>
        <v>0</v>
      </c>
      <c r="H949" s="90">
        <f>H950</f>
        <v>0</v>
      </c>
      <c r="I949" s="422">
        <f>I950</f>
        <v>0</v>
      </c>
      <c r="J949" s="203" t="e">
        <f t="shared" si="90"/>
        <v>#DIV/0!</v>
      </c>
      <c r="K949" s="433" t="e">
        <f t="shared" si="85"/>
        <v>#DIV/0!</v>
      </c>
    </row>
    <row r="950" spans="1:11" ht="48" hidden="1">
      <c r="A950" s="354" t="s">
        <v>1733</v>
      </c>
      <c r="B950" s="82" t="s">
        <v>892</v>
      </c>
      <c r="C950" s="353" t="s">
        <v>172</v>
      </c>
      <c r="D950" s="353" t="s">
        <v>141</v>
      </c>
      <c r="E950" s="353" t="s">
        <v>1049</v>
      </c>
      <c r="F950" s="353" t="s">
        <v>742</v>
      </c>
      <c r="G950" s="90">
        <f>51650-51650</f>
        <v>0</v>
      </c>
      <c r="H950" s="90">
        <f>51650-51650</f>
        <v>0</v>
      </c>
      <c r="I950" s="422">
        <f>51650-51650</f>
        <v>0</v>
      </c>
      <c r="J950" s="203" t="e">
        <f t="shared" si="90"/>
        <v>#DIV/0!</v>
      </c>
      <c r="K950" s="433" t="e">
        <f t="shared" si="85"/>
        <v>#DIV/0!</v>
      </c>
    </row>
    <row r="951" spans="1:11" ht="15">
      <c r="A951" s="93" t="s">
        <v>221</v>
      </c>
      <c r="B951" s="82" t="s">
        <v>892</v>
      </c>
      <c r="C951" s="109" t="s">
        <v>172</v>
      </c>
      <c r="D951" s="109" t="s">
        <v>141</v>
      </c>
      <c r="E951" s="109" t="s">
        <v>222</v>
      </c>
      <c r="F951" s="109"/>
      <c r="G951" s="90">
        <f>G956+G954+G952</f>
        <v>40900</v>
      </c>
      <c r="H951" s="90">
        <f>H956+H954+H952</f>
        <v>10461.8</v>
      </c>
      <c r="I951" s="422">
        <f>I956+I954+I952</f>
        <v>8394.1</v>
      </c>
      <c r="J951" s="203">
        <f t="shared" si="90"/>
        <v>20.523471882640585</v>
      </c>
      <c r="K951" s="433">
        <f t="shared" si="85"/>
        <v>80.23571469536792</v>
      </c>
    </row>
    <row r="952" spans="1:11" ht="36" hidden="1">
      <c r="A952" s="92" t="s">
        <v>223</v>
      </c>
      <c r="B952" s="82" t="s">
        <v>892</v>
      </c>
      <c r="C952" s="109" t="s">
        <v>172</v>
      </c>
      <c r="D952" s="109" t="s">
        <v>141</v>
      </c>
      <c r="E952" s="109" t="s">
        <v>224</v>
      </c>
      <c r="F952" s="109" t="s">
        <v>1071</v>
      </c>
      <c r="G952" s="90">
        <f>G953</f>
        <v>0</v>
      </c>
      <c r="H952" s="90">
        <f>H953</f>
        <v>0</v>
      </c>
      <c r="I952" s="422">
        <f>I953</f>
        <v>0</v>
      </c>
      <c r="J952" s="203" t="e">
        <f t="shared" si="90"/>
        <v>#DIV/0!</v>
      </c>
      <c r="K952" s="433" t="e">
        <f t="shared" si="85"/>
        <v>#DIV/0!</v>
      </c>
    </row>
    <row r="953" spans="1:11" ht="24" hidden="1">
      <c r="A953" s="92" t="s">
        <v>955</v>
      </c>
      <c r="B953" s="82" t="s">
        <v>892</v>
      </c>
      <c r="C953" s="109" t="s">
        <v>172</v>
      </c>
      <c r="D953" s="109" t="s">
        <v>141</v>
      </c>
      <c r="E953" s="109" t="s">
        <v>224</v>
      </c>
      <c r="F953" s="109" t="s">
        <v>1881</v>
      </c>
      <c r="G953" s="90"/>
      <c r="H953" s="90"/>
      <c r="I953" s="422"/>
      <c r="J953" s="203" t="e">
        <f t="shared" si="90"/>
        <v>#DIV/0!</v>
      </c>
      <c r="K953" s="433" t="e">
        <f t="shared" si="85"/>
        <v>#DIV/0!</v>
      </c>
    </row>
    <row r="954" spans="1:11" ht="24.75" hidden="1">
      <c r="A954" s="112" t="s">
        <v>228</v>
      </c>
      <c r="B954" s="82" t="s">
        <v>892</v>
      </c>
      <c r="C954" s="109" t="s">
        <v>172</v>
      </c>
      <c r="D954" s="109" t="s">
        <v>141</v>
      </c>
      <c r="E954" s="109" t="s">
        <v>229</v>
      </c>
      <c r="F954" s="85" t="s">
        <v>1071</v>
      </c>
      <c r="G954" s="90">
        <f>G955</f>
        <v>0</v>
      </c>
      <c r="H954" s="90">
        <f>H955</f>
        <v>0</v>
      </c>
      <c r="I954" s="422">
        <f>I955</f>
        <v>0</v>
      </c>
      <c r="J954" s="203" t="e">
        <f t="shared" si="90"/>
        <v>#DIV/0!</v>
      </c>
      <c r="K954" s="433" t="e">
        <f t="shared" si="85"/>
        <v>#DIV/0!</v>
      </c>
    </row>
    <row r="955" spans="1:11" ht="24.75" hidden="1">
      <c r="A955" s="95" t="s">
        <v>902</v>
      </c>
      <c r="B955" s="82" t="s">
        <v>892</v>
      </c>
      <c r="C955" s="109" t="s">
        <v>172</v>
      </c>
      <c r="D955" s="109" t="s">
        <v>141</v>
      </c>
      <c r="E955" s="109" t="s">
        <v>229</v>
      </c>
      <c r="F955" s="85" t="s">
        <v>436</v>
      </c>
      <c r="G955" s="90"/>
      <c r="H955" s="90"/>
      <c r="I955" s="422"/>
      <c r="J955" s="203" t="e">
        <f t="shared" si="90"/>
        <v>#DIV/0!</v>
      </c>
      <c r="K955" s="433" t="e">
        <f t="shared" si="85"/>
        <v>#DIV/0!</v>
      </c>
    </row>
    <row r="956" spans="1:11" ht="15">
      <c r="A956" s="112" t="s">
        <v>903</v>
      </c>
      <c r="B956" s="82" t="s">
        <v>892</v>
      </c>
      <c r="C956" s="109" t="s">
        <v>172</v>
      </c>
      <c r="D956" s="109" t="s">
        <v>141</v>
      </c>
      <c r="E956" s="109" t="s">
        <v>1046</v>
      </c>
      <c r="F956" s="85" t="s">
        <v>1071</v>
      </c>
      <c r="G956" s="90">
        <f>G960+G961+G962+G974+G975</f>
        <v>40900</v>
      </c>
      <c r="H956" s="90">
        <f>H960+H961+H962+H974+H975</f>
        <v>10461.8</v>
      </c>
      <c r="I956" s="422">
        <f>I960+I961+I962+I974+I975</f>
        <v>8394.1</v>
      </c>
      <c r="J956" s="203">
        <f aca="true" t="shared" si="92" ref="J956:J1019">I956/G956*100</f>
        <v>20.523471882640585</v>
      </c>
      <c r="K956" s="433">
        <f aca="true" t="shared" si="93" ref="K956:K1019">I956/H956*100</f>
        <v>80.23571469536792</v>
      </c>
    </row>
    <row r="957" spans="1:11" ht="15.75" hidden="1">
      <c r="A957" s="112" t="s">
        <v>1897</v>
      </c>
      <c r="B957" s="82" t="s">
        <v>892</v>
      </c>
      <c r="C957" s="109" t="s">
        <v>172</v>
      </c>
      <c r="D957" s="109" t="s">
        <v>141</v>
      </c>
      <c r="E957" s="109" t="s">
        <v>1046</v>
      </c>
      <c r="F957" s="85" t="s">
        <v>1881</v>
      </c>
      <c r="G957" s="90"/>
      <c r="H957" s="90"/>
      <c r="I957" s="422"/>
      <c r="J957" s="203" t="e">
        <f t="shared" si="92"/>
        <v>#DIV/0!</v>
      </c>
      <c r="K957" s="433" t="e">
        <f t="shared" si="93"/>
        <v>#DIV/0!</v>
      </c>
    </row>
    <row r="958" spans="1:11" ht="15.75" hidden="1">
      <c r="A958" s="357" t="s">
        <v>1276</v>
      </c>
      <c r="B958" s="82" t="s">
        <v>892</v>
      </c>
      <c r="C958" s="109" t="s">
        <v>172</v>
      </c>
      <c r="D958" s="109" t="s">
        <v>141</v>
      </c>
      <c r="E958" s="109" t="s">
        <v>1046</v>
      </c>
      <c r="F958" s="85" t="s">
        <v>1881</v>
      </c>
      <c r="G958" s="90"/>
      <c r="H958" s="90"/>
      <c r="I958" s="422"/>
      <c r="J958" s="203" t="e">
        <f t="shared" si="92"/>
        <v>#DIV/0!</v>
      </c>
      <c r="K958" s="433" t="e">
        <f t="shared" si="93"/>
        <v>#DIV/0!</v>
      </c>
    </row>
    <row r="959" spans="1:11" ht="15.75" hidden="1">
      <c r="A959" s="357" t="s">
        <v>1736</v>
      </c>
      <c r="B959" s="82" t="s">
        <v>892</v>
      </c>
      <c r="C959" s="109" t="s">
        <v>172</v>
      </c>
      <c r="D959" s="109" t="s">
        <v>141</v>
      </c>
      <c r="E959" s="109" t="s">
        <v>1046</v>
      </c>
      <c r="F959" s="85" t="s">
        <v>1881</v>
      </c>
      <c r="G959" s="90">
        <v>0</v>
      </c>
      <c r="H959" s="90">
        <v>0</v>
      </c>
      <c r="I959" s="422">
        <v>1</v>
      </c>
      <c r="J959" s="203" t="e">
        <f t="shared" si="92"/>
        <v>#DIV/0!</v>
      </c>
      <c r="K959" s="433" t="e">
        <f t="shared" si="93"/>
        <v>#DIV/0!</v>
      </c>
    </row>
    <row r="960" spans="1:11" ht="15">
      <c r="A960" s="357" t="s">
        <v>1836</v>
      </c>
      <c r="B960" s="82" t="s">
        <v>892</v>
      </c>
      <c r="C960" s="109" t="s">
        <v>172</v>
      </c>
      <c r="D960" s="109" t="s">
        <v>141</v>
      </c>
      <c r="E960" s="109" t="s">
        <v>1046</v>
      </c>
      <c r="F960" s="85" t="s">
        <v>1837</v>
      </c>
      <c r="G960" s="90"/>
      <c r="H960" s="90">
        <v>10157</v>
      </c>
      <c r="I960" s="422">
        <v>8394.1</v>
      </c>
      <c r="J960" s="203"/>
      <c r="K960" s="433">
        <f t="shared" si="93"/>
        <v>82.64349709559909</v>
      </c>
    </row>
    <row r="961" spans="1:11" ht="24.75" hidden="1">
      <c r="A961" s="355" t="s">
        <v>1734</v>
      </c>
      <c r="B961" s="82" t="s">
        <v>892</v>
      </c>
      <c r="C961" s="109" t="s">
        <v>172</v>
      </c>
      <c r="D961" s="109" t="s">
        <v>141</v>
      </c>
      <c r="E961" s="109" t="s">
        <v>1046</v>
      </c>
      <c r="F961" s="85" t="s">
        <v>181</v>
      </c>
      <c r="G961" s="90">
        <v>0</v>
      </c>
      <c r="H961" s="90">
        <v>0</v>
      </c>
      <c r="I961" s="422"/>
      <c r="J961" s="203" t="e">
        <f t="shared" si="92"/>
        <v>#DIV/0!</v>
      </c>
      <c r="K961" s="433" t="e">
        <f t="shared" si="93"/>
        <v>#DIV/0!</v>
      </c>
    </row>
    <row r="962" spans="1:11" ht="15">
      <c r="A962" s="95" t="s">
        <v>171</v>
      </c>
      <c r="B962" s="82" t="s">
        <v>892</v>
      </c>
      <c r="C962" s="109" t="s">
        <v>172</v>
      </c>
      <c r="D962" s="109" t="s">
        <v>141</v>
      </c>
      <c r="E962" s="109" t="s">
        <v>1046</v>
      </c>
      <c r="F962" s="85" t="s">
        <v>436</v>
      </c>
      <c r="G962" s="90">
        <v>40900</v>
      </c>
      <c r="H962" s="90">
        <f>18832-18832</f>
        <v>0</v>
      </c>
      <c r="I962" s="422">
        <f>18832-18832</f>
        <v>0</v>
      </c>
      <c r="J962" s="203">
        <f t="shared" si="92"/>
        <v>0</v>
      </c>
      <c r="K962" s="433"/>
    </row>
    <row r="963" spans="1:11" ht="15.75" hidden="1">
      <c r="A963" s="107" t="s">
        <v>848</v>
      </c>
      <c r="B963" s="82" t="s">
        <v>892</v>
      </c>
      <c r="C963" s="109" t="s">
        <v>172</v>
      </c>
      <c r="D963" s="109" t="s">
        <v>141</v>
      </c>
      <c r="E963" s="109" t="s">
        <v>849</v>
      </c>
      <c r="F963" s="85"/>
      <c r="G963" s="90">
        <f>G964+G966</f>
        <v>0</v>
      </c>
      <c r="H963" s="90">
        <f>H964+H966</f>
        <v>0</v>
      </c>
      <c r="I963" s="422">
        <f>I964+I966</f>
        <v>0</v>
      </c>
      <c r="J963" s="203" t="e">
        <f t="shared" si="92"/>
        <v>#DIV/0!</v>
      </c>
      <c r="K963" s="433" t="e">
        <f t="shared" si="93"/>
        <v>#DIV/0!</v>
      </c>
    </row>
    <row r="964" spans="1:11" ht="84.75" hidden="1">
      <c r="A964" s="95" t="s">
        <v>850</v>
      </c>
      <c r="B964" s="82" t="s">
        <v>892</v>
      </c>
      <c r="C964" s="109" t="s">
        <v>172</v>
      </c>
      <c r="D964" s="109" t="s">
        <v>141</v>
      </c>
      <c r="E964" s="109" t="s">
        <v>426</v>
      </c>
      <c r="F964" s="85"/>
      <c r="G964" s="90">
        <f>G965</f>
        <v>0</v>
      </c>
      <c r="H964" s="90">
        <f>H965</f>
        <v>0</v>
      </c>
      <c r="I964" s="422">
        <f>I965</f>
        <v>0</v>
      </c>
      <c r="J964" s="203" t="e">
        <f t="shared" si="92"/>
        <v>#DIV/0!</v>
      </c>
      <c r="K964" s="433" t="e">
        <f t="shared" si="93"/>
        <v>#DIV/0!</v>
      </c>
    </row>
    <row r="965" spans="1:11" ht="15.75" hidden="1">
      <c r="A965" s="95" t="s">
        <v>852</v>
      </c>
      <c r="B965" s="82" t="s">
        <v>892</v>
      </c>
      <c r="C965" s="109" t="s">
        <v>172</v>
      </c>
      <c r="D965" s="109" t="s">
        <v>141</v>
      </c>
      <c r="E965" s="109" t="s">
        <v>426</v>
      </c>
      <c r="F965" s="85" t="s">
        <v>853</v>
      </c>
      <c r="G965" s="90"/>
      <c r="H965" s="90"/>
      <c r="I965" s="422"/>
      <c r="J965" s="203" t="e">
        <f t="shared" si="92"/>
        <v>#DIV/0!</v>
      </c>
      <c r="K965" s="433" t="e">
        <f t="shared" si="93"/>
        <v>#DIV/0!</v>
      </c>
    </row>
    <row r="966" spans="1:11" ht="15.75" hidden="1">
      <c r="A966" s="107" t="s">
        <v>854</v>
      </c>
      <c r="B966" s="82" t="s">
        <v>892</v>
      </c>
      <c r="C966" s="109" t="s">
        <v>172</v>
      </c>
      <c r="D966" s="109" t="s">
        <v>141</v>
      </c>
      <c r="E966" s="109" t="s">
        <v>855</v>
      </c>
      <c r="F966" s="85"/>
      <c r="G966" s="90">
        <f>G967</f>
        <v>0</v>
      </c>
      <c r="H966" s="90">
        <f>H967</f>
        <v>0</v>
      </c>
      <c r="I966" s="422">
        <f>I967</f>
        <v>0</v>
      </c>
      <c r="J966" s="203" t="e">
        <f t="shared" si="92"/>
        <v>#DIV/0!</v>
      </c>
      <c r="K966" s="433" t="e">
        <f t="shared" si="93"/>
        <v>#DIV/0!</v>
      </c>
    </row>
    <row r="967" spans="1:11" ht="36.75" hidden="1">
      <c r="A967" s="95" t="s">
        <v>856</v>
      </c>
      <c r="B967" s="82" t="s">
        <v>892</v>
      </c>
      <c r="C967" s="109" t="s">
        <v>172</v>
      </c>
      <c r="D967" s="109" t="s">
        <v>141</v>
      </c>
      <c r="E967" s="109" t="s">
        <v>857</v>
      </c>
      <c r="F967" s="85"/>
      <c r="G967" s="90">
        <f>G968+G969</f>
        <v>0</v>
      </c>
      <c r="H967" s="90">
        <f>H968+H969</f>
        <v>0</v>
      </c>
      <c r="I967" s="422">
        <f>I968+I969</f>
        <v>0</v>
      </c>
      <c r="J967" s="203" t="e">
        <f t="shared" si="92"/>
        <v>#DIV/0!</v>
      </c>
      <c r="K967" s="433" t="e">
        <f t="shared" si="93"/>
        <v>#DIV/0!</v>
      </c>
    </row>
    <row r="968" spans="1:11" ht="60.75" hidden="1">
      <c r="A968" s="95" t="s">
        <v>858</v>
      </c>
      <c r="B968" s="82" t="s">
        <v>892</v>
      </c>
      <c r="C968" s="109" t="s">
        <v>172</v>
      </c>
      <c r="D968" s="109" t="s">
        <v>141</v>
      </c>
      <c r="E968" s="109" t="s">
        <v>857</v>
      </c>
      <c r="F968" s="85" t="s">
        <v>859</v>
      </c>
      <c r="G968" s="90"/>
      <c r="H968" s="90"/>
      <c r="I968" s="422"/>
      <c r="J968" s="203" t="e">
        <f t="shared" si="92"/>
        <v>#DIV/0!</v>
      </c>
      <c r="K968" s="433" t="e">
        <f t="shared" si="93"/>
        <v>#DIV/0!</v>
      </c>
    </row>
    <row r="969" spans="1:11" ht="60.75" hidden="1">
      <c r="A969" s="95" t="s">
        <v>860</v>
      </c>
      <c r="B969" s="82" t="s">
        <v>892</v>
      </c>
      <c r="C969" s="109" t="s">
        <v>172</v>
      </c>
      <c r="D969" s="109" t="s">
        <v>141</v>
      </c>
      <c r="E969" s="109" t="s">
        <v>857</v>
      </c>
      <c r="F969" s="85" t="s">
        <v>326</v>
      </c>
      <c r="G969" s="90"/>
      <c r="H969" s="90"/>
      <c r="I969" s="422"/>
      <c r="J969" s="203" t="e">
        <f t="shared" si="92"/>
        <v>#DIV/0!</v>
      </c>
      <c r="K969" s="433" t="e">
        <f t="shared" si="93"/>
        <v>#DIV/0!</v>
      </c>
    </row>
    <row r="970" spans="1:11" ht="15.75" hidden="1">
      <c r="A970" s="107" t="s">
        <v>909</v>
      </c>
      <c r="B970" s="82" t="s">
        <v>892</v>
      </c>
      <c r="C970" s="109" t="s">
        <v>172</v>
      </c>
      <c r="D970" s="109" t="s">
        <v>141</v>
      </c>
      <c r="E970" s="109" t="s">
        <v>910</v>
      </c>
      <c r="F970" s="109"/>
      <c r="G970" s="90">
        <f>SUM(G971:G971)</f>
        <v>0</v>
      </c>
      <c r="H970" s="90">
        <f>SUM(H971:H971)</f>
        <v>0</v>
      </c>
      <c r="I970" s="422">
        <f>SUM(I971:I971)</f>
        <v>0</v>
      </c>
      <c r="J970" s="203" t="e">
        <f t="shared" si="92"/>
        <v>#DIV/0!</v>
      </c>
      <c r="K970" s="433" t="e">
        <f t="shared" si="93"/>
        <v>#DIV/0!</v>
      </c>
    </row>
    <row r="971" spans="1:11" ht="36.75" hidden="1">
      <c r="A971" s="112" t="s">
        <v>861</v>
      </c>
      <c r="B971" s="82" t="s">
        <v>892</v>
      </c>
      <c r="C971" s="109" t="s">
        <v>172</v>
      </c>
      <c r="D971" s="109" t="s">
        <v>141</v>
      </c>
      <c r="E971" s="109" t="s">
        <v>862</v>
      </c>
      <c r="F971" s="85" t="s">
        <v>1071</v>
      </c>
      <c r="G971" s="90">
        <f>G973+G972</f>
        <v>0</v>
      </c>
      <c r="H971" s="90">
        <f>H973+H972</f>
        <v>0</v>
      </c>
      <c r="I971" s="422">
        <f>I973+I972</f>
        <v>0</v>
      </c>
      <c r="J971" s="203" t="e">
        <f t="shared" si="92"/>
        <v>#DIV/0!</v>
      </c>
      <c r="K971" s="433" t="e">
        <f t="shared" si="93"/>
        <v>#DIV/0!</v>
      </c>
    </row>
    <row r="972" spans="1:11" ht="84" hidden="1">
      <c r="A972" s="278" t="s">
        <v>863</v>
      </c>
      <c r="B972" s="82" t="s">
        <v>892</v>
      </c>
      <c r="C972" s="109" t="s">
        <v>172</v>
      </c>
      <c r="D972" s="109" t="s">
        <v>141</v>
      </c>
      <c r="E972" s="109" t="s">
        <v>862</v>
      </c>
      <c r="F972" s="85" t="s">
        <v>859</v>
      </c>
      <c r="G972" s="90">
        <f>436-156-280</f>
        <v>0</v>
      </c>
      <c r="H972" s="90">
        <f>436-156-280</f>
        <v>0</v>
      </c>
      <c r="I972" s="422">
        <f>436-156-280</f>
        <v>0</v>
      </c>
      <c r="J972" s="203" t="e">
        <f t="shared" si="92"/>
        <v>#DIV/0!</v>
      </c>
      <c r="K972" s="433" t="e">
        <f t="shared" si="93"/>
        <v>#DIV/0!</v>
      </c>
    </row>
    <row r="973" spans="1:11" ht="72" hidden="1">
      <c r="A973" s="278" t="s">
        <v>76</v>
      </c>
      <c r="B973" s="82" t="s">
        <v>892</v>
      </c>
      <c r="C973" s="109" t="s">
        <v>172</v>
      </c>
      <c r="D973" s="109" t="s">
        <v>141</v>
      </c>
      <c r="E973" s="109" t="s">
        <v>862</v>
      </c>
      <c r="F973" s="85" t="s">
        <v>326</v>
      </c>
      <c r="G973" s="90"/>
      <c r="H973" s="90"/>
      <c r="I973" s="422"/>
      <c r="J973" s="203" t="e">
        <f t="shared" si="92"/>
        <v>#DIV/0!</v>
      </c>
      <c r="K973" s="433" t="e">
        <f t="shared" si="93"/>
        <v>#DIV/0!</v>
      </c>
    </row>
    <row r="974" spans="1:11" ht="24" hidden="1">
      <c r="A974" s="92" t="s">
        <v>185</v>
      </c>
      <c r="B974" s="82" t="s">
        <v>892</v>
      </c>
      <c r="C974" s="109" t="s">
        <v>172</v>
      </c>
      <c r="D974" s="109" t="s">
        <v>141</v>
      </c>
      <c r="E974" s="109" t="s">
        <v>1046</v>
      </c>
      <c r="F974" s="85" t="s">
        <v>186</v>
      </c>
      <c r="G974" s="90">
        <f>11909.9-300-11609.9</f>
        <v>0</v>
      </c>
      <c r="H974" s="90">
        <f>11909.9-300-11609.9</f>
        <v>0</v>
      </c>
      <c r="I974" s="422">
        <f>11909.9-300-11609.9</f>
        <v>0</v>
      </c>
      <c r="J974" s="203" t="e">
        <f t="shared" si="92"/>
        <v>#DIV/0!</v>
      </c>
      <c r="K974" s="433" t="e">
        <f t="shared" si="93"/>
        <v>#DIV/0!</v>
      </c>
    </row>
    <row r="975" spans="1:11" ht="36">
      <c r="A975" s="92" t="s">
        <v>185</v>
      </c>
      <c r="B975" s="82" t="s">
        <v>892</v>
      </c>
      <c r="C975" s="109" t="s">
        <v>172</v>
      </c>
      <c r="D975" s="109" t="s">
        <v>141</v>
      </c>
      <c r="E975" s="109" t="s">
        <v>1046</v>
      </c>
      <c r="F975" s="85" t="s">
        <v>186</v>
      </c>
      <c r="G975" s="90"/>
      <c r="H975" s="90">
        <f>2125-1820.2</f>
        <v>304.79999999999995</v>
      </c>
      <c r="I975" s="422"/>
      <c r="J975" s="203"/>
      <c r="K975" s="433">
        <f t="shared" si="93"/>
        <v>0</v>
      </c>
    </row>
    <row r="976" spans="1:11" ht="15">
      <c r="A976" s="107" t="s">
        <v>909</v>
      </c>
      <c r="B976" s="82" t="s">
        <v>892</v>
      </c>
      <c r="C976" s="85" t="s">
        <v>172</v>
      </c>
      <c r="D976" s="85" t="s">
        <v>141</v>
      </c>
      <c r="E976" s="109" t="s">
        <v>910</v>
      </c>
      <c r="F976" s="85"/>
      <c r="G976" s="90">
        <f aca="true" t="shared" si="94" ref="G976:I977">G977</f>
        <v>0</v>
      </c>
      <c r="H976" s="90">
        <f t="shared" si="94"/>
        <v>28102.100000000002</v>
      </c>
      <c r="I976" s="422">
        <f t="shared" si="94"/>
        <v>24127</v>
      </c>
      <c r="J976" s="203"/>
      <c r="K976" s="433">
        <f t="shared" si="93"/>
        <v>85.8547937698606</v>
      </c>
    </row>
    <row r="977" spans="1:11" ht="24">
      <c r="A977" s="92" t="s">
        <v>1738</v>
      </c>
      <c r="B977" s="82" t="s">
        <v>892</v>
      </c>
      <c r="C977" s="85" t="s">
        <v>172</v>
      </c>
      <c r="D977" s="85" t="s">
        <v>141</v>
      </c>
      <c r="E977" s="109" t="s">
        <v>1739</v>
      </c>
      <c r="F977" s="85" t="s">
        <v>1071</v>
      </c>
      <c r="G977" s="90">
        <f t="shared" si="94"/>
        <v>0</v>
      </c>
      <c r="H977" s="90">
        <f t="shared" si="94"/>
        <v>28102.100000000002</v>
      </c>
      <c r="I977" s="422">
        <f t="shared" si="94"/>
        <v>24127</v>
      </c>
      <c r="J977" s="203"/>
      <c r="K977" s="433">
        <f t="shared" si="93"/>
        <v>85.8547937698606</v>
      </c>
    </row>
    <row r="978" spans="1:11" ht="36">
      <c r="A978" s="92" t="s">
        <v>185</v>
      </c>
      <c r="B978" s="82" t="s">
        <v>892</v>
      </c>
      <c r="C978" s="85" t="s">
        <v>172</v>
      </c>
      <c r="D978" s="85" t="s">
        <v>141</v>
      </c>
      <c r="E978" s="109" t="s">
        <v>1739</v>
      </c>
      <c r="F978" s="85" t="s">
        <v>186</v>
      </c>
      <c r="G978" s="90"/>
      <c r="H978" s="90">
        <f>1187.8+17945.2+11609.9-4125+1484.2</f>
        <v>28102.100000000002</v>
      </c>
      <c r="I978" s="422">
        <v>24127</v>
      </c>
      <c r="J978" s="203"/>
      <c r="K978" s="433">
        <f t="shared" si="93"/>
        <v>85.8547937698606</v>
      </c>
    </row>
    <row r="979" spans="1:11" ht="48">
      <c r="A979" s="92" t="s">
        <v>1740</v>
      </c>
      <c r="B979" s="82" t="s">
        <v>892</v>
      </c>
      <c r="C979" s="85" t="s">
        <v>172</v>
      </c>
      <c r="D979" s="85" t="s">
        <v>141</v>
      </c>
      <c r="E979" s="109" t="s">
        <v>1741</v>
      </c>
      <c r="F979" s="85" t="s">
        <v>1071</v>
      </c>
      <c r="G979" s="90">
        <f>G980+G981</f>
        <v>0</v>
      </c>
      <c r="H979" s="90">
        <f>H980+H981</f>
        <v>2336</v>
      </c>
      <c r="I979" s="422">
        <f>I980+I981</f>
        <v>2323.8</v>
      </c>
      <c r="J979" s="203"/>
      <c r="K979" s="433">
        <f t="shared" si="93"/>
        <v>99.47773972602741</v>
      </c>
    </row>
    <row r="980" spans="1:11" ht="15">
      <c r="A980" s="112" t="s">
        <v>1729</v>
      </c>
      <c r="B980" s="82" t="s">
        <v>892</v>
      </c>
      <c r="C980" s="85" t="s">
        <v>172</v>
      </c>
      <c r="D980" s="85" t="s">
        <v>141</v>
      </c>
      <c r="E980" s="109" t="s">
        <v>1741</v>
      </c>
      <c r="F980" s="85" t="s">
        <v>1837</v>
      </c>
      <c r="G980" s="90"/>
      <c r="H980" s="90">
        <v>2336</v>
      </c>
      <c r="I980" s="422">
        <v>2323.8</v>
      </c>
      <c r="J980" s="203"/>
      <c r="K980" s="433">
        <f t="shared" si="93"/>
        <v>99.47773972602741</v>
      </c>
    </row>
    <row r="981" spans="1:11" ht="24" hidden="1">
      <c r="A981" s="92" t="s">
        <v>185</v>
      </c>
      <c r="B981" s="82" t="s">
        <v>892</v>
      </c>
      <c r="C981" s="85" t="s">
        <v>172</v>
      </c>
      <c r="D981" s="85" t="s">
        <v>141</v>
      </c>
      <c r="E981" s="109" t="s">
        <v>1741</v>
      </c>
      <c r="F981" s="85" t="s">
        <v>186</v>
      </c>
      <c r="G981" s="90">
        <f>2000-2000</f>
        <v>0</v>
      </c>
      <c r="H981" s="90">
        <f>2000-2000</f>
        <v>0</v>
      </c>
      <c r="I981" s="422">
        <f>2000-2000</f>
        <v>0</v>
      </c>
      <c r="J981" s="203"/>
      <c r="K981" s="433"/>
    </row>
    <row r="982" spans="1:11" ht="15">
      <c r="A982" s="91" t="s">
        <v>904</v>
      </c>
      <c r="B982" s="82" t="s">
        <v>892</v>
      </c>
      <c r="C982" s="85" t="s">
        <v>172</v>
      </c>
      <c r="D982" s="85" t="s">
        <v>142</v>
      </c>
      <c r="E982" s="85"/>
      <c r="F982" s="85"/>
      <c r="G982" s="90">
        <f>G983+G986+G994+G997+G989</f>
        <v>19318.8</v>
      </c>
      <c r="H982" s="90">
        <f>H983+H986+H994+H997+H989</f>
        <v>39587.2</v>
      </c>
      <c r="I982" s="422">
        <f>I983+I986+I994+I997+I989</f>
        <v>36579.1</v>
      </c>
      <c r="J982" s="421" t="s">
        <v>1212</v>
      </c>
      <c r="K982" s="433">
        <f t="shared" si="93"/>
        <v>92.4013317435939</v>
      </c>
    </row>
    <row r="983" spans="1:11" ht="15.75" hidden="1">
      <c r="A983" s="177" t="s">
        <v>321</v>
      </c>
      <c r="B983" s="82" t="s">
        <v>892</v>
      </c>
      <c r="C983" s="85" t="s">
        <v>172</v>
      </c>
      <c r="D983" s="85" t="s">
        <v>142</v>
      </c>
      <c r="E983" s="85" t="s">
        <v>322</v>
      </c>
      <c r="F983" s="85"/>
      <c r="G983" s="90">
        <f aca="true" t="shared" si="95" ref="G983:I984">G984</f>
        <v>0</v>
      </c>
      <c r="H983" s="90">
        <f t="shared" si="95"/>
        <v>0</v>
      </c>
      <c r="I983" s="422">
        <f t="shared" si="95"/>
        <v>0</v>
      </c>
      <c r="J983" s="203" t="e">
        <f t="shared" si="92"/>
        <v>#DIV/0!</v>
      </c>
      <c r="K983" s="433" t="e">
        <f t="shared" si="93"/>
        <v>#DIV/0!</v>
      </c>
    </row>
    <row r="984" spans="1:11" ht="24.75" hidden="1">
      <c r="A984" s="177" t="s">
        <v>323</v>
      </c>
      <c r="B984" s="82" t="s">
        <v>892</v>
      </c>
      <c r="C984" s="85" t="s">
        <v>172</v>
      </c>
      <c r="D984" s="85" t="s">
        <v>142</v>
      </c>
      <c r="E984" s="85" t="s">
        <v>324</v>
      </c>
      <c r="F984" s="85" t="s">
        <v>1071</v>
      </c>
      <c r="G984" s="90">
        <f t="shared" si="95"/>
        <v>0</v>
      </c>
      <c r="H984" s="90">
        <f t="shared" si="95"/>
        <v>0</v>
      </c>
      <c r="I984" s="422">
        <f t="shared" si="95"/>
        <v>0</v>
      </c>
      <c r="J984" s="203" t="e">
        <f t="shared" si="92"/>
        <v>#DIV/0!</v>
      </c>
      <c r="K984" s="433" t="e">
        <f t="shared" si="93"/>
        <v>#DIV/0!</v>
      </c>
    </row>
    <row r="985" spans="1:11" ht="60.75" hidden="1">
      <c r="A985" s="177" t="s">
        <v>77</v>
      </c>
      <c r="B985" s="82" t="s">
        <v>892</v>
      </c>
      <c r="C985" s="85" t="s">
        <v>172</v>
      </c>
      <c r="D985" s="85" t="s">
        <v>142</v>
      </c>
      <c r="E985" s="85" t="s">
        <v>324</v>
      </c>
      <c r="F985" s="85" t="s">
        <v>1879</v>
      </c>
      <c r="G985" s="90"/>
      <c r="H985" s="90"/>
      <c r="I985" s="422"/>
      <c r="J985" s="203" t="e">
        <f t="shared" si="92"/>
        <v>#DIV/0!</v>
      </c>
      <c r="K985" s="433" t="e">
        <f t="shared" si="93"/>
        <v>#DIV/0!</v>
      </c>
    </row>
    <row r="986" spans="1:11" ht="24" hidden="1">
      <c r="A986" s="86" t="s">
        <v>937</v>
      </c>
      <c r="B986" s="82" t="s">
        <v>892</v>
      </c>
      <c r="C986" s="85" t="s">
        <v>172</v>
      </c>
      <c r="D986" s="85" t="s">
        <v>142</v>
      </c>
      <c r="E986" s="85" t="s">
        <v>1049</v>
      </c>
      <c r="F986" s="85"/>
      <c r="G986" s="90">
        <f aca="true" t="shared" si="96" ref="G986:I987">G987</f>
        <v>0</v>
      </c>
      <c r="H986" s="90">
        <f t="shared" si="96"/>
        <v>0</v>
      </c>
      <c r="I986" s="422">
        <f t="shared" si="96"/>
        <v>0</v>
      </c>
      <c r="J986" s="203" t="e">
        <f t="shared" si="92"/>
        <v>#DIV/0!</v>
      </c>
      <c r="K986" s="433" t="e">
        <f t="shared" si="93"/>
        <v>#DIV/0!</v>
      </c>
    </row>
    <row r="987" spans="1:11" ht="15.75" hidden="1">
      <c r="A987" s="92" t="s">
        <v>1742</v>
      </c>
      <c r="B987" s="82" t="s">
        <v>892</v>
      </c>
      <c r="C987" s="85" t="s">
        <v>172</v>
      </c>
      <c r="D987" s="85" t="s">
        <v>142</v>
      </c>
      <c r="E987" s="85" t="s">
        <v>1049</v>
      </c>
      <c r="F987" s="85" t="s">
        <v>1879</v>
      </c>
      <c r="G987" s="90">
        <f t="shared" si="96"/>
        <v>0</v>
      </c>
      <c r="H987" s="90">
        <f t="shared" si="96"/>
        <v>0</v>
      </c>
      <c r="I987" s="422">
        <f t="shared" si="96"/>
        <v>0</v>
      </c>
      <c r="J987" s="203" t="e">
        <f t="shared" si="92"/>
        <v>#DIV/0!</v>
      </c>
      <c r="K987" s="433" t="e">
        <f t="shared" si="93"/>
        <v>#DIV/0!</v>
      </c>
    </row>
    <row r="988" spans="1:11" ht="24" hidden="1">
      <c r="A988" s="92" t="s">
        <v>1743</v>
      </c>
      <c r="B988" s="82" t="s">
        <v>892</v>
      </c>
      <c r="C988" s="85" t="s">
        <v>172</v>
      </c>
      <c r="D988" s="85" t="s">
        <v>142</v>
      </c>
      <c r="E988" s="85" t="s">
        <v>1049</v>
      </c>
      <c r="F988" s="85" t="s">
        <v>1879</v>
      </c>
      <c r="G988" s="90">
        <f>16403.4-16403.4</f>
        <v>0</v>
      </c>
      <c r="H988" s="90">
        <f>16403.4-16403.4</f>
        <v>0</v>
      </c>
      <c r="I988" s="422">
        <f>16403.4-16403.4</f>
        <v>0</v>
      </c>
      <c r="J988" s="203" t="e">
        <f t="shared" si="92"/>
        <v>#DIV/0!</v>
      </c>
      <c r="K988" s="433" t="e">
        <f t="shared" si="93"/>
        <v>#DIV/0!</v>
      </c>
    </row>
    <row r="989" spans="1:11" ht="24">
      <c r="A989" s="93" t="s">
        <v>78</v>
      </c>
      <c r="B989" s="82" t="s">
        <v>892</v>
      </c>
      <c r="C989" s="85" t="s">
        <v>172</v>
      </c>
      <c r="D989" s="85" t="s">
        <v>142</v>
      </c>
      <c r="E989" s="85" t="s">
        <v>1199</v>
      </c>
      <c r="F989" s="85"/>
      <c r="G989" s="90">
        <f>G990</f>
        <v>2895</v>
      </c>
      <c r="H989" s="90">
        <f>H990</f>
        <v>2895</v>
      </c>
      <c r="I989" s="422">
        <f>I990</f>
        <v>0</v>
      </c>
      <c r="J989" s="203">
        <f t="shared" si="92"/>
        <v>0</v>
      </c>
      <c r="K989" s="433">
        <f t="shared" si="93"/>
        <v>0</v>
      </c>
    </row>
    <row r="990" spans="1:11" ht="24">
      <c r="A990" s="112" t="s">
        <v>1200</v>
      </c>
      <c r="B990" s="82" t="s">
        <v>892</v>
      </c>
      <c r="C990" s="85" t="s">
        <v>172</v>
      </c>
      <c r="D990" s="85" t="s">
        <v>142</v>
      </c>
      <c r="E990" s="85" t="s">
        <v>512</v>
      </c>
      <c r="F990" s="85" t="s">
        <v>1071</v>
      </c>
      <c r="G990" s="90">
        <f>G991+G992+G993</f>
        <v>2895</v>
      </c>
      <c r="H990" s="90">
        <f>H991+H992+H993</f>
        <v>2895</v>
      </c>
      <c r="I990" s="422">
        <f>I991+I992+I993</f>
        <v>0</v>
      </c>
      <c r="J990" s="203">
        <f t="shared" si="92"/>
        <v>0</v>
      </c>
      <c r="K990" s="433">
        <f t="shared" si="93"/>
        <v>0</v>
      </c>
    </row>
    <row r="991" spans="1:11" ht="24.75" hidden="1">
      <c r="A991" s="112" t="s">
        <v>1744</v>
      </c>
      <c r="B991" s="82" t="s">
        <v>892</v>
      </c>
      <c r="C991" s="85" t="s">
        <v>172</v>
      </c>
      <c r="D991" s="85" t="s">
        <v>142</v>
      </c>
      <c r="E991" s="85" t="s">
        <v>512</v>
      </c>
      <c r="F991" s="85" t="s">
        <v>1881</v>
      </c>
      <c r="G991" s="90"/>
      <c r="H991" s="90"/>
      <c r="I991" s="422"/>
      <c r="J991" s="203"/>
      <c r="K991" s="433"/>
    </row>
    <row r="992" spans="1:11" ht="24">
      <c r="A992" s="357" t="s">
        <v>1836</v>
      </c>
      <c r="B992" s="82" t="s">
        <v>892</v>
      </c>
      <c r="C992" s="85" t="s">
        <v>172</v>
      </c>
      <c r="D992" s="85" t="s">
        <v>142</v>
      </c>
      <c r="E992" s="85" t="s">
        <v>512</v>
      </c>
      <c r="F992" s="85" t="s">
        <v>1837</v>
      </c>
      <c r="G992" s="90"/>
      <c r="H992" s="90">
        <v>2895</v>
      </c>
      <c r="I992" s="422"/>
      <c r="J992" s="203"/>
      <c r="K992" s="433"/>
    </row>
    <row r="993" spans="1:11" ht="24">
      <c r="A993" s="358" t="s">
        <v>171</v>
      </c>
      <c r="B993" s="82" t="s">
        <v>892</v>
      </c>
      <c r="C993" s="85" t="s">
        <v>172</v>
      </c>
      <c r="D993" s="85" t="s">
        <v>142</v>
      </c>
      <c r="E993" s="85" t="s">
        <v>512</v>
      </c>
      <c r="F993" s="85" t="s">
        <v>436</v>
      </c>
      <c r="G993" s="90">
        <v>2895</v>
      </c>
      <c r="H993" s="90"/>
      <c r="I993" s="422"/>
      <c r="J993" s="203">
        <f t="shared" si="92"/>
        <v>0</v>
      </c>
      <c r="K993" s="433"/>
    </row>
    <row r="994" spans="1:11" ht="15.75" hidden="1">
      <c r="A994" s="107" t="s">
        <v>854</v>
      </c>
      <c r="B994" s="82" t="s">
        <v>892</v>
      </c>
      <c r="C994" s="109" t="s">
        <v>172</v>
      </c>
      <c r="D994" s="109" t="s">
        <v>142</v>
      </c>
      <c r="E994" s="109" t="s">
        <v>855</v>
      </c>
      <c r="F994" s="85"/>
      <c r="G994" s="90">
        <f aca="true" t="shared" si="97" ref="G994:I995">G995</f>
        <v>0</v>
      </c>
      <c r="H994" s="90">
        <f t="shared" si="97"/>
        <v>0</v>
      </c>
      <c r="I994" s="422">
        <f t="shared" si="97"/>
        <v>0</v>
      </c>
      <c r="J994" s="203" t="e">
        <f t="shared" si="92"/>
        <v>#DIV/0!</v>
      </c>
      <c r="K994" s="433" t="e">
        <f t="shared" si="93"/>
        <v>#DIV/0!</v>
      </c>
    </row>
    <row r="995" spans="1:11" ht="36.75" hidden="1">
      <c r="A995" s="95" t="s">
        <v>856</v>
      </c>
      <c r="B995" s="82" t="s">
        <v>892</v>
      </c>
      <c r="C995" s="109" t="s">
        <v>172</v>
      </c>
      <c r="D995" s="109" t="s">
        <v>142</v>
      </c>
      <c r="E995" s="109" t="s">
        <v>857</v>
      </c>
      <c r="F995" s="173"/>
      <c r="G995" s="90">
        <f t="shared" si="97"/>
        <v>0</v>
      </c>
      <c r="H995" s="90">
        <f t="shared" si="97"/>
        <v>0</v>
      </c>
      <c r="I995" s="422">
        <f t="shared" si="97"/>
        <v>0</v>
      </c>
      <c r="J995" s="203" t="e">
        <f t="shared" si="92"/>
        <v>#DIV/0!</v>
      </c>
      <c r="K995" s="433" t="e">
        <f t="shared" si="93"/>
        <v>#DIV/0!</v>
      </c>
    </row>
    <row r="996" spans="1:11" ht="48.75" hidden="1">
      <c r="A996" s="112" t="s">
        <v>1201</v>
      </c>
      <c r="B996" s="82" t="s">
        <v>892</v>
      </c>
      <c r="C996" s="109" t="s">
        <v>172</v>
      </c>
      <c r="D996" s="109" t="s">
        <v>142</v>
      </c>
      <c r="E996" s="109" t="s">
        <v>857</v>
      </c>
      <c r="F996" s="85" t="s">
        <v>1202</v>
      </c>
      <c r="G996" s="90"/>
      <c r="H996" s="90"/>
      <c r="I996" s="422"/>
      <c r="J996" s="203" t="e">
        <f t="shared" si="92"/>
        <v>#DIV/0!</v>
      </c>
      <c r="K996" s="433" t="e">
        <f t="shared" si="93"/>
        <v>#DIV/0!</v>
      </c>
    </row>
    <row r="997" spans="1:11" ht="15">
      <c r="A997" s="107" t="s">
        <v>909</v>
      </c>
      <c r="B997" s="82" t="s">
        <v>892</v>
      </c>
      <c r="C997" s="85" t="s">
        <v>172</v>
      </c>
      <c r="D997" s="85" t="s">
        <v>142</v>
      </c>
      <c r="E997" s="109" t="s">
        <v>910</v>
      </c>
      <c r="F997" s="109"/>
      <c r="G997" s="90">
        <f>G998+G1005</f>
        <v>16423.8</v>
      </c>
      <c r="H997" s="90">
        <f>H998+H1005</f>
        <v>36692.2</v>
      </c>
      <c r="I997" s="422">
        <f>I998+I1005</f>
        <v>36579.1</v>
      </c>
      <c r="J997" s="421" t="s">
        <v>1212</v>
      </c>
      <c r="K997" s="433">
        <f t="shared" si="93"/>
        <v>99.69176010160197</v>
      </c>
    </row>
    <row r="998" spans="1:11" ht="24">
      <c r="A998" s="112" t="s">
        <v>226</v>
      </c>
      <c r="B998" s="82" t="s">
        <v>892</v>
      </c>
      <c r="C998" s="85" t="s">
        <v>172</v>
      </c>
      <c r="D998" s="85" t="s">
        <v>142</v>
      </c>
      <c r="E998" s="109" t="s">
        <v>802</v>
      </c>
      <c r="F998" s="85" t="s">
        <v>1071</v>
      </c>
      <c r="G998" s="90">
        <f>G999+G1000+G1001</f>
        <v>16423.8</v>
      </c>
      <c r="H998" s="90">
        <f>H999+H1000+H1001</f>
        <v>32960.7</v>
      </c>
      <c r="I998" s="422">
        <f>I999+I1000+I1001</f>
        <v>32847.6</v>
      </c>
      <c r="J998" s="421" t="s">
        <v>1212</v>
      </c>
      <c r="K998" s="433">
        <f t="shared" si="93"/>
        <v>99.65686408359046</v>
      </c>
    </row>
    <row r="999" spans="1:11" ht="15">
      <c r="A999" s="112" t="s">
        <v>1898</v>
      </c>
      <c r="B999" s="82" t="s">
        <v>892</v>
      </c>
      <c r="C999" s="85" t="s">
        <v>172</v>
      </c>
      <c r="D999" s="85" t="s">
        <v>142</v>
      </c>
      <c r="E999" s="109" t="s">
        <v>802</v>
      </c>
      <c r="F999" s="85" t="s">
        <v>1881</v>
      </c>
      <c r="G999" s="90">
        <v>16423.8</v>
      </c>
      <c r="H999" s="90"/>
      <c r="I999" s="422"/>
      <c r="J999" s="203">
        <f t="shared" si="92"/>
        <v>0</v>
      </c>
      <c r="K999" s="433"/>
    </row>
    <row r="1000" spans="1:11" ht="26.25" customHeight="1">
      <c r="A1000" s="357" t="s">
        <v>803</v>
      </c>
      <c r="B1000" s="82" t="s">
        <v>892</v>
      </c>
      <c r="C1000" s="85" t="s">
        <v>172</v>
      </c>
      <c r="D1000" s="85" t="s">
        <v>142</v>
      </c>
      <c r="E1000" s="109" t="s">
        <v>802</v>
      </c>
      <c r="F1000" s="85" t="s">
        <v>186</v>
      </c>
      <c r="G1000" s="90"/>
      <c r="H1000" s="90">
        <v>32847.6</v>
      </c>
      <c r="I1000" s="422">
        <v>32847.6</v>
      </c>
      <c r="J1000" s="203"/>
      <c r="K1000" s="433">
        <f t="shared" si="93"/>
        <v>100</v>
      </c>
    </row>
    <row r="1001" spans="1:11" ht="36">
      <c r="A1001" s="357" t="s">
        <v>804</v>
      </c>
      <c r="B1001" s="82" t="s">
        <v>892</v>
      </c>
      <c r="C1001" s="85" t="s">
        <v>172</v>
      </c>
      <c r="D1001" s="85" t="s">
        <v>142</v>
      </c>
      <c r="E1001" s="109" t="s">
        <v>802</v>
      </c>
      <c r="F1001" s="85" t="s">
        <v>186</v>
      </c>
      <c r="G1001" s="90"/>
      <c r="H1001" s="90">
        <f>113.1</f>
        <v>113.1</v>
      </c>
      <c r="I1001" s="422"/>
      <c r="J1001" s="203"/>
      <c r="K1001" s="433">
        <f t="shared" si="93"/>
        <v>0</v>
      </c>
    </row>
    <row r="1002" spans="1:11" ht="15.75" hidden="1">
      <c r="A1002" s="112" t="s">
        <v>1205</v>
      </c>
      <c r="B1002" s="82" t="s">
        <v>892</v>
      </c>
      <c r="C1002" s="85" t="s">
        <v>172</v>
      </c>
      <c r="D1002" s="85" t="s">
        <v>142</v>
      </c>
      <c r="E1002" s="109" t="s">
        <v>1203</v>
      </c>
      <c r="F1002" s="85" t="s">
        <v>1881</v>
      </c>
      <c r="G1002" s="90"/>
      <c r="H1002" s="90"/>
      <c r="I1002" s="422"/>
      <c r="J1002" s="203"/>
      <c r="K1002" s="433" t="e">
        <f t="shared" si="93"/>
        <v>#DIV/0!</v>
      </c>
    </row>
    <row r="1003" spans="1:11" ht="15.75" hidden="1">
      <c r="A1003" s="112" t="s">
        <v>1206</v>
      </c>
      <c r="B1003" s="82" t="s">
        <v>892</v>
      </c>
      <c r="C1003" s="85" t="s">
        <v>172</v>
      </c>
      <c r="D1003" s="85" t="s">
        <v>142</v>
      </c>
      <c r="E1003" s="109" t="s">
        <v>1203</v>
      </c>
      <c r="F1003" s="85" t="s">
        <v>1881</v>
      </c>
      <c r="G1003" s="90"/>
      <c r="H1003" s="90"/>
      <c r="I1003" s="422"/>
      <c r="J1003" s="203"/>
      <c r="K1003" s="433" t="e">
        <f t="shared" si="93"/>
        <v>#DIV/0!</v>
      </c>
    </row>
    <row r="1004" spans="1:11" ht="15.75" hidden="1">
      <c r="A1004" s="112" t="s">
        <v>1207</v>
      </c>
      <c r="B1004" s="82" t="s">
        <v>892</v>
      </c>
      <c r="C1004" s="85" t="s">
        <v>172</v>
      </c>
      <c r="D1004" s="85" t="s">
        <v>142</v>
      </c>
      <c r="E1004" s="109" t="s">
        <v>1203</v>
      </c>
      <c r="F1004" s="85" t="s">
        <v>1881</v>
      </c>
      <c r="G1004" s="90"/>
      <c r="H1004" s="90"/>
      <c r="I1004" s="422"/>
      <c r="J1004" s="203"/>
      <c r="K1004" s="433" t="e">
        <f t="shared" si="93"/>
        <v>#DIV/0!</v>
      </c>
    </row>
    <row r="1005" spans="1:11" ht="24">
      <c r="A1005" s="357" t="s">
        <v>805</v>
      </c>
      <c r="B1005" s="82" t="s">
        <v>892</v>
      </c>
      <c r="C1005" s="85" t="s">
        <v>172</v>
      </c>
      <c r="D1005" s="85" t="s">
        <v>142</v>
      </c>
      <c r="E1005" s="109" t="s">
        <v>1277</v>
      </c>
      <c r="F1005" s="85" t="s">
        <v>1071</v>
      </c>
      <c r="G1005" s="90">
        <f>G1006</f>
        <v>0</v>
      </c>
      <c r="H1005" s="90">
        <f>H1006</f>
        <v>3731.5</v>
      </c>
      <c r="I1005" s="422">
        <f>I1006</f>
        <v>3731.5</v>
      </c>
      <c r="J1005" s="203"/>
      <c r="K1005" s="433">
        <f t="shared" si="93"/>
        <v>100</v>
      </c>
    </row>
    <row r="1006" spans="1:11" ht="36">
      <c r="A1006" s="92" t="s">
        <v>185</v>
      </c>
      <c r="B1006" s="82" t="s">
        <v>892</v>
      </c>
      <c r="C1006" s="85" t="s">
        <v>172</v>
      </c>
      <c r="D1006" s="85" t="s">
        <v>142</v>
      </c>
      <c r="E1006" s="109" t="s">
        <v>1277</v>
      </c>
      <c r="F1006" s="85" t="s">
        <v>186</v>
      </c>
      <c r="G1006" s="90"/>
      <c r="H1006" s="90">
        <f>2833+898.5</f>
        <v>3731.5</v>
      </c>
      <c r="I1006" s="422">
        <v>3731.5</v>
      </c>
      <c r="J1006" s="203"/>
      <c r="K1006" s="433">
        <f t="shared" si="93"/>
        <v>100</v>
      </c>
    </row>
    <row r="1007" spans="1:11" ht="15">
      <c r="A1007" s="113" t="s">
        <v>1288</v>
      </c>
      <c r="B1007" s="82" t="s">
        <v>892</v>
      </c>
      <c r="C1007" s="85" t="s">
        <v>172</v>
      </c>
      <c r="D1007" s="85" t="s">
        <v>1598</v>
      </c>
      <c r="E1007" s="109"/>
      <c r="F1007" s="85"/>
      <c r="G1007" s="90">
        <f>G1008+G1011+G1033</f>
        <v>147824</v>
      </c>
      <c r="H1007" s="90">
        <f>H1008+H1011+H1033</f>
        <v>189669.3</v>
      </c>
      <c r="I1007" s="422">
        <f>I1008+I1011+I1033</f>
        <v>185698.8</v>
      </c>
      <c r="J1007" s="203">
        <f t="shared" si="92"/>
        <v>125.62154995129342</v>
      </c>
      <c r="K1007" s="433">
        <f t="shared" si="93"/>
        <v>97.90661957417463</v>
      </c>
    </row>
    <row r="1008" spans="1:11" ht="24">
      <c r="A1008" s="86" t="s">
        <v>220</v>
      </c>
      <c r="B1008" s="82" t="s">
        <v>892</v>
      </c>
      <c r="C1008" s="109" t="s">
        <v>172</v>
      </c>
      <c r="D1008" s="109" t="s">
        <v>1598</v>
      </c>
      <c r="E1008" s="85" t="s">
        <v>936</v>
      </c>
      <c r="F1008" s="109"/>
      <c r="G1008" s="90">
        <f aca="true" t="shared" si="98" ref="G1008:I1009">G1009</f>
        <v>15000</v>
      </c>
      <c r="H1008" s="90">
        <f t="shared" si="98"/>
        <v>15000</v>
      </c>
      <c r="I1008" s="422">
        <f t="shared" si="98"/>
        <v>14930.2</v>
      </c>
      <c r="J1008" s="203">
        <f t="shared" si="92"/>
        <v>99.53466666666667</v>
      </c>
      <c r="K1008" s="433">
        <f t="shared" si="93"/>
        <v>99.53466666666667</v>
      </c>
    </row>
    <row r="1009" spans="1:11" ht="24">
      <c r="A1009" s="92" t="s">
        <v>937</v>
      </c>
      <c r="B1009" s="82" t="s">
        <v>892</v>
      </c>
      <c r="C1009" s="109" t="s">
        <v>172</v>
      </c>
      <c r="D1009" s="109" t="s">
        <v>1598</v>
      </c>
      <c r="E1009" s="109" t="s">
        <v>1049</v>
      </c>
      <c r="F1009" s="109" t="s">
        <v>1071</v>
      </c>
      <c r="G1009" s="90">
        <f t="shared" si="98"/>
        <v>15000</v>
      </c>
      <c r="H1009" s="90">
        <f t="shared" si="98"/>
        <v>15000</v>
      </c>
      <c r="I1009" s="422">
        <f t="shared" si="98"/>
        <v>14930.2</v>
      </c>
      <c r="J1009" s="203">
        <f t="shared" si="92"/>
        <v>99.53466666666667</v>
      </c>
      <c r="K1009" s="433">
        <f t="shared" si="93"/>
        <v>99.53466666666667</v>
      </c>
    </row>
    <row r="1010" spans="1:11" ht="24">
      <c r="A1010" s="92" t="s">
        <v>807</v>
      </c>
      <c r="B1010" s="82" t="s">
        <v>892</v>
      </c>
      <c r="C1010" s="109" t="s">
        <v>172</v>
      </c>
      <c r="D1010" s="109" t="s">
        <v>1598</v>
      </c>
      <c r="E1010" s="109" t="s">
        <v>1049</v>
      </c>
      <c r="F1010" s="109" t="s">
        <v>1879</v>
      </c>
      <c r="G1010" s="90">
        <v>15000</v>
      </c>
      <c r="H1010" s="90">
        <f>15000-5000+5000</f>
        <v>15000</v>
      </c>
      <c r="I1010" s="422">
        <v>14930.2</v>
      </c>
      <c r="J1010" s="203">
        <f t="shared" si="92"/>
        <v>99.53466666666667</v>
      </c>
      <c r="K1010" s="433">
        <f t="shared" si="93"/>
        <v>99.53466666666667</v>
      </c>
    </row>
    <row r="1011" spans="1:11" ht="24">
      <c r="A1011" s="86" t="s">
        <v>1288</v>
      </c>
      <c r="B1011" s="82" t="s">
        <v>892</v>
      </c>
      <c r="C1011" s="85" t="s">
        <v>172</v>
      </c>
      <c r="D1011" s="85" t="s">
        <v>1598</v>
      </c>
      <c r="E1011" s="85" t="s">
        <v>1208</v>
      </c>
      <c r="F1011" s="85"/>
      <c r="G1011" s="90">
        <f>G1012+G1015+G1020+G1017+G1023</f>
        <v>132824</v>
      </c>
      <c r="H1011" s="90">
        <f>H1012+H1015+H1020+H1017+H1023</f>
        <v>140662.09999999998</v>
      </c>
      <c r="I1011" s="422">
        <f>I1012+I1015+I1020+I1017+I1023</f>
        <v>136761.4</v>
      </c>
      <c r="J1011" s="203">
        <f t="shared" si="92"/>
        <v>102.96437390832982</v>
      </c>
      <c r="K1011" s="433">
        <f t="shared" si="93"/>
        <v>97.22690049416298</v>
      </c>
    </row>
    <row r="1012" spans="1:11" ht="24">
      <c r="A1012" s="87" t="s">
        <v>1209</v>
      </c>
      <c r="B1012" s="82" t="s">
        <v>892</v>
      </c>
      <c r="C1012" s="85" t="s">
        <v>172</v>
      </c>
      <c r="D1012" s="85" t="s">
        <v>1598</v>
      </c>
      <c r="E1012" s="85" t="s">
        <v>1210</v>
      </c>
      <c r="F1012" s="85" t="s">
        <v>1071</v>
      </c>
      <c r="G1012" s="90">
        <f>G1013+G1014</f>
        <v>80140</v>
      </c>
      <c r="H1012" s="90">
        <f>H1013+H1014</f>
        <v>80200</v>
      </c>
      <c r="I1012" s="422">
        <f>I1013+I1014</f>
        <v>76821.5</v>
      </c>
      <c r="J1012" s="203">
        <f t="shared" si="92"/>
        <v>95.8591215373097</v>
      </c>
      <c r="K1012" s="433">
        <f t="shared" si="93"/>
        <v>95.78740648379053</v>
      </c>
    </row>
    <row r="1013" spans="1:11" ht="24">
      <c r="A1013" s="357" t="s">
        <v>1836</v>
      </c>
      <c r="B1013" s="82" t="s">
        <v>892</v>
      </c>
      <c r="C1013" s="85" t="s">
        <v>172</v>
      </c>
      <c r="D1013" s="85" t="s">
        <v>1598</v>
      </c>
      <c r="E1013" s="85" t="s">
        <v>1210</v>
      </c>
      <c r="F1013" s="85" t="s">
        <v>1837</v>
      </c>
      <c r="G1013" s="90"/>
      <c r="H1013" s="90">
        <f>80140+60</f>
        <v>80200</v>
      </c>
      <c r="I1013" s="422">
        <v>76821.5</v>
      </c>
      <c r="J1013" s="203"/>
      <c r="K1013" s="433">
        <f t="shared" si="93"/>
        <v>95.78740648379053</v>
      </c>
    </row>
    <row r="1014" spans="1:11" ht="24">
      <c r="A1014" s="358" t="s">
        <v>171</v>
      </c>
      <c r="B1014" s="82" t="s">
        <v>892</v>
      </c>
      <c r="C1014" s="85" t="s">
        <v>172</v>
      </c>
      <c r="D1014" s="85" t="s">
        <v>1598</v>
      </c>
      <c r="E1014" s="85" t="s">
        <v>1210</v>
      </c>
      <c r="F1014" s="85" t="s">
        <v>436</v>
      </c>
      <c r="G1014" s="90">
        <v>80140</v>
      </c>
      <c r="H1014" s="90"/>
      <c r="I1014" s="422"/>
      <c r="J1014" s="203"/>
      <c r="K1014" s="433"/>
    </row>
    <row r="1015" spans="1:11" ht="48">
      <c r="A1015" s="112" t="s">
        <v>809</v>
      </c>
      <c r="B1015" s="82" t="s">
        <v>892</v>
      </c>
      <c r="C1015" s="85" t="s">
        <v>172</v>
      </c>
      <c r="D1015" s="85" t="s">
        <v>1598</v>
      </c>
      <c r="E1015" s="85" t="s">
        <v>810</v>
      </c>
      <c r="F1015" s="85" t="s">
        <v>1071</v>
      </c>
      <c r="G1015" s="90">
        <f>G1016</f>
        <v>0</v>
      </c>
      <c r="H1015" s="90">
        <f>H1016</f>
        <v>390</v>
      </c>
      <c r="I1015" s="422">
        <f>I1016</f>
        <v>0</v>
      </c>
      <c r="J1015" s="203"/>
      <c r="K1015" s="433">
        <f t="shared" si="93"/>
        <v>0</v>
      </c>
    </row>
    <row r="1016" spans="1:11" ht="24">
      <c r="A1016" s="112" t="s">
        <v>87</v>
      </c>
      <c r="B1016" s="82" t="s">
        <v>892</v>
      </c>
      <c r="C1016" s="85" t="s">
        <v>172</v>
      </c>
      <c r="D1016" s="85" t="s">
        <v>1598</v>
      </c>
      <c r="E1016" s="85" t="s">
        <v>810</v>
      </c>
      <c r="F1016" s="85" t="s">
        <v>88</v>
      </c>
      <c r="G1016" s="90"/>
      <c r="H1016" s="90">
        <v>390</v>
      </c>
      <c r="I1016" s="422"/>
      <c r="J1016" s="203"/>
      <c r="K1016" s="433">
        <f t="shared" si="93"/>
        <v>0</v>
      </c>
    </row>
    <row r="1017" spans="1:11" ht="36">
      <c r="A1017" s="92" t="s">
        <v>905</v>
      </c>
      <c r="B1017" s="82" t="s">
        <v>892</v>
      </c>
      <c r="C1017" s="85" t="s">
        <v>172</v>
      </c>
      <c r="D1017" s="85" t="s">
        <v>1598</v>
      </c>
      <c r="E1017" s="85" t="s">
        <v>1211</v>
      </c>
      <c r="F1017" s="85" t="s">
        <v>1071</v>
      </c>
      <c r="G1017" s="90">
        <f aca="true" t="shared" si="99" ref="G1017:I1018">G1018</f>
        <v>13120</v>
      </c>
      <c r="H1017" s="90">
        <f t="shared" si="99"/>
        <v>13120</v>
      </c>
      <c r="I1017" s="422">
        <f t="shared" si="99"/>
        <v>13118.1</v>
      </c>
      <c r="J1017" s="203">
        <f t="shared" si="92"/>
        <v>99.98551829268293</v>
      </c>
      <c r="K1017" s="433">
        <f t="shared" si="93"/>
        <v>99.98551829268293</v>
      </c>
    </row>
    <row r="1018" spans="1:11" ht="24">
      <c r="A1018" s="87" t="s">
        <v>743</v>
      </c>
      <c r="B1018" s="82" t="s">
        <v>892</v>
      </c>
      <c r="C1018" s="85" t="s">
        <v>172</v>
      </c>
      <c r="D1018" s="85" t="s">
        <v>1598</v>
      </c>
      <c r="E1018" s="85" t="s">
        <v>1211</v>
      </c>
      <c r="F1018" s="85" t="s">
        <v>744</v>
      </c>
      <c r="G1018" s="90">
        <f t="shared" si="99"/>
        <v>13120</v>
      </c>
      <c r="H1018" s="90">
        <f t="shared" si="99"/>
        <v>13120</v>
      </c>
      <c r="I1018" s="422">
        <f t="shared" si="99"/>
        <v>13118.1</v>
      </c>
      <c r="J1018" s="203">
        <f t="shared" si="92"/>
        <v>99.98551829268293</v>
      </c>
      <c r="K1018" s="433">
        <f t="shared" si="93"/>
        <v>99.98551829268293</v>
      </c>
    </row>
    <row r="1019" spans="1:11" ht="24">
      <c r="A1019" s="87" t="s">
        <v>745</v>
      </c>
      <c r="B1019" s="82" t="s">
        <v>892</v>
      </c>
      <c r="C1019" s="85" t="s">
        <v>172</v>
      </c>
      <c r="D1019" s="85" t="s">
        <v>1598</v>
      </c>
      <c r="E1019" s="85" t="s">
        <v>1211</v>
      </c>
      <c r="F1019" s="85" t="s">
        <v>746</v>
      </c>
      <c r="G1019" s="90">
        <v>13120</v>
      </c>
      <c r="H1019" s="90">
        <f>13120-3000+3000</f>
        <v>13120</v>
      </c>
      <c r="I1019" s="422">
        <v>13118.1</v>
      </c>
      <c r="J1019" s="203">
        <f t="shared" si="92"/>
        <v>99.98551829268293</v>
      </c>
      <c r="K1019" s="433">
        <f t="shared" si="93"/>
        <v>99.98551829268293</v>
      </c>
    </row>
    <row r="1020" spans="1:11" ht="24">
      <c r="A1020" s="92" t="s">
        <v>1386</v>
      </c>
      <c r="B1020" s="82" t="s">
        <v>892</v>
      </c>
      <c r="C1020" s="85" t="s">
        <v>172</v>
      </c>
      <c r="D1020" s="85" t="s">
        <v>1598</v>
      </c>
      <c r="E1020" s="85" t="s">
        <v>1061</v>
      </c>
      <c r="F1020" s="85" t="s">
        <v>1071</v>
      </c>
      <c r="G1020" s="90">
        <f aca="true" t="shared" si="100" ref="G1020:I1021">G1021</f>
        <v>12000</v>
      </c>
      <c r="H1020" s="90">
        <f t="shared" si="100"/>
        <v>11326.7</v>
      </c>
      <c r="I1020" s="422">
        <f t="shared" si="100"/>
        <v>11326.7</v>
      </c>
      <c r="J1020" s="203">
        <f aca="true" t="shared" si="101" ref="J1020:J1083">I1020/G1020*100</f>
        <v>94.38916666666667</v>
      </c>
      <c r="K1020" s="433">
        <f aca="true" t="shared" si="102" ref="K1020:K1083">I1020/H1020*100</f>
        <v>100</v>
      </c>
    </row>
    <row r="1021" spans="1:11" ht="24">
      <c r="A1021" s="87" t="s">
        <v>743</v>
      </c>
      <c r="B1021" s="82" t="s">
        <v>892</v>
      </c>
      <c r="C1021" s="85" t="s">
        <v>172</v>
      </c>
      <c r="D1021" s="85" t="s">
        <v>1598</v>
      </c>
      <c r="E1021" s="85" t="s">
        <v>1061</v>
      </c>
      <c r="F1021" s="85" t="s">
        <v>744</v>
      </c>
      <c r="G1021" s="90">
        <f t="shared" si="100"/>
        <v>12000</v>
      </c>
      <c r="H1021" s="90">
        <f t="shared" si="100"/>
        <v>11326.7</v>
      </c>
      <c r="I1021" s="422">
        <f t="shared" si="100"/>
        <v>11326.7</v>
      </c>
      <c r="J1021" s="203">
        <f t="shared" si="101"/>
        <v>94.38916666666667</v>
      </c>
      <c r="K1021" s="433">
        <f t="shared" si="102"/>
        <v>100</v>
      </c>
    </row>
    <row r="1022" spans="1:11" ht="24">
      <c r="A1022" s="87" t="s">
        <v>745</v>
      </c>
      <c r="B1022" s="82" t="s">
        <v>892</v>
      </c>
      <c r="C1022" s="85" t="s">
        <v>172</v>
      </c>
      <c r="D1022" s="85" t="s">
        <v>1598</v>
      </c>
      <c r="E1022" s="85" t="s">
        <v>1061</v>
      </c>
      <c r="F1022" s="85" t="s">
        <v>746</v>
      </c>
      <c r="G1022" s="90">
        <v>12000</v>
      </c>
      <c r="H1022" s="90">
        <f>15000-3000-673.3</f>
        <v>11326.7</v>
      </c>
      <c r="I1022" s="422">
        <v>11326.7</v>
      </c>
      <c r="J1022" s="203">
        <f t="shared" si="101"/>
        <v>94.38916666666667</v>
      </c>
      <c r="K1022" s="433">
        <f t="shared" si="102"/>
        <v>100</v>
      </c>
    </row>
    <row r="1023" spans="1:11" ht="24">
      <c r="A1023" s="92" t="s">
        <v>1387</v>
      </c>
      <c r="B1023" s="82" t="s">
        <v>892</v>
      </c>
      <c r="C1023" s="85" t="s">
        <v>172</v>
      </c>
      <c r="D1023" s="85" t="s">
        <v>1598</v>
      </c>
      <c r="E1023" s="85" t="s">
        <v>1062</v>
      </c>
      <c r="F1023" s="85" t="s">
        <v>1071</v>
      </c>
      <c r="G1023" s="90">
        <f>G1024+G1025+G1026</f>
        <v>27564</v>
      </c>
      <c r="H1023" s="90">
        <f>H1024+H1025+H1026</f>
        <v>35625.399999999994</v>
      </c>
      <c r="I1023" s="422">
        <f>I1024+I1025+I1026</f>
        <v>35495.1</v>
      </c>
      <c r="J1023" s="203">
        <f t="shared" si="101"/>
        <v>128.7734000870701</v>
      </c>
      <c r="K1023" s="433">
        <f t="shared" si="102"/>
        <v>99.6342497207049</v>
      </c>
    </row>
    <row r="1024" spans="1:11" ht="84">
      <c r="A1024" s="87" t="s">
        <v>811</v>
      </c>
      <c r="B1024" s="82" t="s">
        <v>892</v>
      </c>
      <c r="C1024" s="85" t="s">
        <v>172</v>
      </c>
      <c r="D1024" s="85" t="s">
        <v>1598</v>
      </c>
      <c r="E1024" s="85" t="s">
        <v>1062</v>
      </c>
      <c r="F1024" s="85" t="s">
        <v>88</v>
      </c>
      <c r="G1024" s="90"/>
      <c r="H1024" s="90">
        <v>19.5</v>
      </c>
      <c r="I1024" s="422"/>
      <c r="J1024" s="203"/>
      <c r="K1024" s="433">
        <f t="shared" si="102"/>
        <v>0</v>
      </c>
    </row>
    <row r="1025" spans="1:11" ht="24">
      <c r="A1025" s="87" t="s">
        <v>1729</v>
      </c>
      <c r="B1025" s="82" t="s">
        <v>892</v>
      </c>
      <c r="C1025" s="85" t="s">
        <v>172</v>
      </c>
      <c r="D1025" s="85" t="s">
        <v>1598</v>
      </c>
      <c r="E1025" s="85" t="s">
        <v>1062</v>
      </c>
      <c r="F1025" s="85" t="s">
        <v>1837</v>
      </c>
      <c r="G1025" s="90"/>
      <c r="H1025" s="90">
        <v>690.2</v>
      </c>
      <c r="I1025" s="422">
        <v>629.3</v>
      </c>
      <c r="J1025" s="203"/>
      <c r="K1025" s="433">
        <f t="shared" si="102"/>
        <v>91.17647058823528</v>
      </c>
    </row>
    <row r="1026" spans="1:11" ht="24">
      <c r="A1026" s="87" t="s">
        <v>743</v>
      </c>
      <c r="B1026" s="82" t="s">
        <v>892</v>
      </c>
      <c r="C1026" s="85" t="s">
        <v>172</v>
      </c>
      <c r="D1026" s="85" t="s">
        <v>1598</v>
      </c>
      <c r="E1026" s="85" t="s">
        <v>1062</v>
      </c>
      <c r="F1026" s="85" t="s">
        <v>744</v>
      </c>
      <c r="G1026" s="90">
        <f>G1027+G1028</f>
        <v>27564</v>
      </c>
      <c r="H1026" s="90">
        <f>H1027+H1028</f>
        <v>34915.7</v>
      </c>
      <c r="I1026" s="422">
        <f>I1027+I1028</f>
        <v>34865.799999999996</v>
      </c>
      <c r="J1026" s="203">
        <f t="shared" si="101"/>
        <v>126.49034973153388</v>
      </c>
      <c r="K1026" s="433">
        <f t="shared" si="102"/>
        <v>99.85708434887457</v>
      </c>
    </row>
    <row r="1027" spans="1:11" ht="24">
      <c r="A1027" s="87" t="s">
        <v>745</v>
      </c>
      <c r="B1027" s="82" t="s">
        <v>892</v>
      </c>
      <c r="C1027" s="85" t="s">
        <v>172</v>
      </c>
      <c r="D1027" s="85" t="s">
        <v>1598</v>
      </c>
      <c r="E1027" s="85" t="s">
        <v>1062</v>
      </c>
      <c r="F1027" s="85" t="s">
        <v>746</v>
      </c>
      <c r="G1027" s="90">
        <v>27564</v>
      </c>
      <c r="H1027" s="90">
        <f>17564+10000+674+799.4+117.6+915.3+158.6+775.1+500+916.6+150-150+88.6</f>
        <v>32509.199999999993</v>
      </c>
      <c r="I1027" s="422">
        <v>32508.1</v>
      </c>
      <c r="J1027" s="203">
        <f t="shared" si="101"/>
        <v>117.93680162530838</v>
      </c>
      <c r="K1027" s="433">
        <f t="shared" si="102"/>
        <v>99.99661634245078</v>
      </c>
    </row>
    <row r="1028" spans="1:11" ht="24">
      <c r="A1028" s="87" t="s">
        <v>1640</v>
      </c>
      <c r="B1028" s="82" t="s">
        <v>892</v>
      </c>
      <c r="C1028" s="85" t="s">
        <v>172</v>
      </c>
      <c r="D1028" s="85" t="s">
        <v>1598</v>
      </c>
      <c r="E1028" s="85" t="s">
        <v>1062</v>
      </c>
      <c r="F1028" s="85" t="s">
        <v>1637</v>
      </c>
      <c r="G1028" s="90">
        <f>G1029+G1030+G1031+G1032</f>
        <v>0</v>
      </c>
      <c r="H1028" s="90">
        <f>H1029+H1030+H1031+H1032</f>
        <v>2406.5</v>
      </c>
      <c r="I1028" s="422">
        <f>I1029+I1030+I1031+I1032</f>
        <v>2357.7</v>
      </c>
      <c r="J1028" s="203"/>
      <c r="K1028" s="433">
        <f t="shared" si="102"/>
        <v>97.97215873675461</v>
      </c>
    </row>
    <row r="1029" spans="1:11" ht="36">
      <c r="A1029" s="87" t="s">
        <v>1278</v>
      </c>
      <c r="B1029" s="82" t="s">
        <v>892</v>
      </c>
      <c r="C1029" s="85" t="s">
        <v>172</v>
      </c>
      <c r="D1029" s="85" t="s">
        <v>1598</v>
      </c>
      <c r="E1029" s="85" t="s">
        <v>1062</v>
      </c>
      <c r="F1029" s="85" t="s">
        <v>1637</v>
      </c>
      <c r="G1029" s="90"/>
      <c r="H1029" s="90">
        <v>1635.8</v>
      </c>
      <c r="I1029" s="422">
        <v>1587</v>
      </c>
      <c r="J1029" s="203"/>
      <c r="K1029" s="433">
        <f t="shared" si="102"/>
        <v>97.01675021396258</v>
      </c>
    </row>
    <row r="1030" spans="1:11" ht="24">
      <c r="A1030" s="87" t="s">
        <v>813</v>
      </c>
      <c r="B1030" s="82" t="s">
        <v>892</v>
      </c>
      <c r="C1030" s="85" t="s">
        <v>172</v>
      </c>
      <c r="D1030" s="85" t="s">
        <v>1598</v>
      </c>
      <c r="E1030" s="85" t="s">
        <v>1062</v>
      </c>
      <c r="F1030" s="85" t="s">
        <v>1637</v>
      </c>
      <c r="G1030" s="90"/>
      <c r="H1030" s="90">
        <v>500</v>
      </c>
      <c r="I1030" s="422">
        <v>500</v>
      </c>
      <c r="J1030" s="203"/>
      <c r="K1030" s="433">
        <f t="shared" si="102"/>
        <v>100</v>
      </c>
    </row>
    <row r="1031" spans="1:11" ht="24">
      <c r="A1031" s="87" t="s">
        <v>814</v>
      </c>
      <c r="B1031" s="82" t="s">
        <v>892</v>
      </c>
      <c r="C1031" s="85" t="s">
        <v>172</v>
      </c>
      <c r="D1031" s="85" t="s">
        <v>1598</v>
      </c>
      <c r="E1031" s="85" t="s">
        <v>1062</v>
      </c>
      <c r="F1031" s="85" t="s">
        <v>1637</v>
      </c>
      <c r="G1031" s="90"/>
      <c r="H1031" s="90">
        <v>270.7</v>
      </c>
      <c r="I1031" s="422">
        <v>270.7</v>
      </c>
      <c r="J1031" s="203"/>
      <c r="K1031" s="433">
        <f t="shared" si="102"/>
        <v>100</v>
      </c>
    </row>
    <row r="1032" spans="1:11" ht="72" hidden="1">
      <c r="A1032" s="87" t="s">
        <v>815</v>
      </c>
      <c r="B1032" s="82" t="s">
        <v>892</v>
      </c>
      <c r="C1032" s="85" t="s">
        <v>172</v>
      </c>
      <c r="D1032" s="85" t="s">
        <v>1598</v>
      </c>
      <c r="E1032" s="85" t="s">
        <v>1062</v>
      </c>
      <c r="F1032" s="85" t="s">
        <v>1637</v>
      </c>
      <c r="G1032" s="90">
        <f>19.5-19.5</f>
        <v>0</v>
      </c>
      <c r="H1032" s="90">
        <f>19.5-19.5</f>
        <v>0</v>
      </c>
      <c r="I1032" s="422">
        <f>19.5-19.5</f>
        <v>0</v>
      </c>
      <c r="J1032" s="203"/>
      <c r="K1032" s="433" t="e">
        <f t="shared" si="102"/>
        <v>#DIV/0!</v>
      </c>
    </row>
    <row r="1033" spans="1:11" ht="24">
      <c r="A1033" s="107" t="s">
        <v>909</v>
      </c>
      <c r="B1033" s="82" t="s">
        <v>892</v>
      </c>
      <c r="C1033" s="85" t="s">
        <v>172</v>
      </c>
      <c r="D1033" s="85" t="s">
        <v>1598</v>
      </c>
      <c r="E1033" s="85" t="s">
        <v>910</v>
      </c>
      <c r="F1033" s="85"/>
      <c r="G1033" s="90">
        <f aca="true" t="shared" si="103" ref="G1033:I1034">G1034</f>
        <v>0</v>
      </c>
      <c r="H1033" s="90">
        <f t="shared" si="103"/>
        <v>34007.2</v>
      </c>
      <c r="I1033" s="422">
        <f t="shared" si="103"/>
        <v>34007.2</v>
      </c>
      <c r="J1033" s="203"/>
      <c r="K1033" s="433">
        <f t="shared" si="102"/>
        <v>100</v>
      </c>
    </row>
    <row r="1034" spans="1:11" ht="60">
      <c r="A1034" s="95" t="s">
        <v>816</v>
      </c>
      <c r="B1034" s="82" t="s">
        <v>892</v>
      </c>
      <c r="C1034" s="85" t="s">
        <v>172</v>
      </c>
      <c r="D1034" s="85" t="s">
        <v>1598</v>
      </c>
      <c r="E1034" s="85" t="s">
        <v>575</v>
      </c>
      <c r="F1034" s="85" t="s">
        <v>1071</v>
      </c>
      <c r="G1034" s="90">
        <f t="shared" si="103"/>
        <v>0</v>
      </c>
      <c r="H1034" s="90">
        <f t="shared" si="103"/>
        <v>34007.2</v>
      </c>
      <c r="I1034" s="422">
        <f t="shared" si="103"/>
        <v>34007.2</v>
      </c>
      <c r="J1034" s="203"/>
      <c r="K1034" s="433">
        <f t="shared" si="102"/>
        <v>100</v>
      </c>
    </row>
    <row r="1035" spans="1:11" ht="24">
      <c r="A1035" s="95" t="s">
        <v>106</v>
      </c>
      <c r="B1035" s="82" t="s">
        <v>892</v>
      </c>
      <c r="C1035" s="85" t="s">
        <v>172</v>
      </c>
      <c r="D1035" s="85" t="s">
        <v>1598</v>
      </c>
      <c r="E1035" s="85" t="s">
        <v>575</v>
      </c>
      <c r="F1035" s="85" t="s">
        <v>181</v>
      </c>
      <c r="G1035" s="90"/>
      <c r="H1035" s="90">
        <v>34007.2</v>
      </c>
      <c r="I1035" s="422">
        <v>34007.2</v>
      </c>
      <c r="J1035" s="203"/>
      <c r="K1035" s="433">
        <f t="shared" si="102"/>
        <v>100</v>
      </c>
    </row>
    <row r="1036" spans="1:11" ht="15">
      <c r="A1036" s="114" t="s">
        <v>1388</v>
      </c>
      <c r="B1036" s="82" t="s">
        <v>892</v>
      </c>
      <c r="C1036" s="85" t="s">
        <v>583</v>
      </c>
      <c r="D1036" s="85"/>
      <c r="E1036" s="85"/>
      <c r="F1036" s="102"/>
      <c r="G1036" s="90">
        <f aca="true" t="shared" si="104" ref="G1036:I1038">G1037</f>
        <v>1000</v>
      </c>
      <c r="H1036" s="90">
        <f t="shared" si="104"/>
        <v>1000</v>
      </c>
      <c r="I1036" s="422">
        <f t="shared" si="104"/>
        <v>977.6</v>
      </c>
      <c r="J1036" s="203">
        <f t="shared" si="101"/>
        <v>97.76</v>
      </c>
      <c r="K1036" s="433">
        <f t="shared" si="102"/>
        <v>97.76</v>
      </c>
    </row>
    <row r="1037" spans="1:11" ht="24">
      <c r="A1037" s="91" t="s">
        <v>386</v>
      </c>
      <c r="B1037" s="82" t="s">
        <v>892</v>
      </c>
      <c r="C1037" s="85" t="s">
        <v>583</v>
      </c>
      <c r="D1037" s="85" t="s">
        <v>1598</v>
      </c>
      <c r="E1037" s="85"/>
      <c r="F1037" s="102"/>
      <c r="G1037" s="90">
        <f t="shared" si="104"/>
        <v>1000</v>
      </c>
      <c r="H1037" s="90">
        <f t="shared" si="104"/>
        <v>1000</v>
      </c>
      <c r="I1037" s="422">
        <f t="shared" si="104"/>
        <v>977.6</v>
      </c>
      <c r="J1037" s="203">
        <f t="shared" si="101"/>
        <v>97.76</v>
      </c>
      <c r="K1037" s="433">
        <f t="shared" si="102"/>
        <v>97.76</v>
      </c>
    </row>
    <row r="1038" spans="1:11" ht="24">
      <c r="A1038" s="93" t="s">
        <v>756</v>
      </c>
      <c r="B1038" s="82" t="s">
        <v>892</v>
      </c>
      <c r="C1038" s="85" t="s">
        <v>583</v>
      </c>
      <c r="D1038" s="85" t="s">
        <v>1598</v>
      </c>
      <c r="E1038" s="85" t="s">
        <v>1390</v>
      </c>
      <c r="F1038" s="102"/>
      <c r="G1038" s="90">
        <f t="shared" si="104"/>
        <v>1000</v>
      </c>
      <c r="H1038" s="90">
        <f t="shared" si="104"/>
        <v>1000</v>
      </c>
      <c r="I1038" s="422">
        <f t="shared" si="104"/>
        <v>977.6</v>
      </c>
      <c r="J1038" s="203">
        <f t="shared" si="101"/>
        <v>97.76</v>
      </c>
      <c r="K1038" s="433">
        <f t="shared" si="102"/>
        <v>97.76</v>
      </c>
    </row>
    <row r="1039" spans="1:11" ht="24">
      <c r="A1039" s="87" t="s">
        <v>1391</v>
      </c>
      <c r="B1039" s="82" t="s">
        <v>892</v>
      </c>
      <c r="C1039" s="85" t="s">
        <v>583</v>
      </c>
      <c r="D1039" s="85" t="s">
        <v>1598</v>
      </c>
      <c r="E1039" s="85" t="s">
        <v>1063</v>
      </c>
      <c r="F1039" s="85" t="s">
        <v>1071</v>
      </c>
      <c r="G1039" s="90">
        <f>G1040+G1067+G1041</f>
        <v>1000</v>
      </c>
      <c r="H1039" s="90">
        <f>H1040+H1067+H1041</f>
        <v>1000</v>
      </c>
      <c r="I1039" s="422">
        <f>I1040+I1067+I1041</f>
        <v>977.6</v>
      </c>
      <c r="J1039" s="203">
        <f t="shared" si="101"/>
        <v>97.76</v>
      </c>
      <c r="K1039" s="433">
        <f t="shared" si="102"/>
        <v>97.76</v>
      </c>
    </row>
    <row r="1040" spans="1:11" ht="24">
      <c r="A1040" s="87" t="s">
        <v>1729</v>
      </c>
      <c r="B1040" s="82" t="s">
        <v>892</v>
      </c>
      <c r="C1040" s="85" t="s">
        <v>583</v>
      </c>
      <c r="D1040" s="85" t="s">
        <v>1598</v>
      </c>
      <c r="E1040" s="85" t="s">
        <v>1063</v>
      </c>
      <c r="F1040" s="102" t="s">
        <v>1837</v>
      </c>
      <c r="G1040" s="90"/>
      <c r="H1040" s="90">
        <v>898</v>
      </c>
      <c r="I1040" s="422">
        <v>877.6</v>
      </c>
      <c r="J1040" s="203"/>
      <c r="K1040" s="433">
        <f t="shared" si="102"/>
        <v>97.728285077951</v>
      </c>
    </row>
    <row r="1041" spans="1:11" ht="24">
      <c r="A1041" s="358" t="s">
        <v>171</v>
      </c>
      <c r="B1041" s="82" t="s">
        <v>892</v>
      </c>
      <c r="C1041" s="85" t="s">
        <v>583</v>
      </c>
      <c r="D1041" s="85" t="s">
        <v>1598</v>
      </c>
      <c r="E1041" s="85" t="s">
        <v>1063</v>
      </c>
      <c r="F1041" s="102" t="s">
        <v>436</v>
      </c>
      <c r="G1041" s="90">
        <v>1000</v>
      </c>
      <c r="H1041" s="90"/>
      <c r="I1041" s="422"/>
      <c r="J1041" s="203">
        <f t="shared" si="101"/>
        <v>0</v>
      </c>
      <c r="K1041" s="433"/>
    </row>
    <row r="1042" spans="1:11" ht="15" customHeight="1" hidden="1">
      <c r="A1042" s="88" t="s">
        <v>1392</v>
      </c>
      <c r="B1042" s="82" t="s">
        <v>892</v>
      </c>
      <c r="C1042" s="85" t="s">
        <v>584</v>
      </c>
      <c r="D1042" s="89"/>
      <c r="E1042" s="89"/>
      <c r="F1042" s="89"/>
      <c r="G1042" s="90">
        <f aca="true" t="shared" si="105" ref="G1042:I1044">G1043</f>
        <v>0</v>
      </c>
      <c r="H1042" s="90">
        <f t="shared" si="105"/>
        <v>0</v>
      </c>
      <c r="I1042" s="422">
        <f t="shared" si="105"/>
        <v>0</v>
      </c>
      <c r="J1042" s="203" t="e">
        <f t="shared" si="101"/>
        <v>#DIV/0!</v>
      </c>
      <c r="K1042" s="433" t="e">
        <f t="shared" si="102"/>
        <v>#DIV/0!</v>
      </c>
    </row>
    <row r="1043" spans="1:11" ht="15" customHeight="1" hidden="1">
      <c r="A1043" s="91" t="s">
        <v>1306</v>
      </c>
      <c r="B1043" s="82" t="s">
        <v>892</v>
      </c>
      <c r="C1043" s="85" t="s">
        <v>584</v>
      </c>
      <c r="D1043" s="85" t="s">
        <v>584</v>
      </c>
      <c r="E1043" s="85"/>
      <c r="F1043" s="85"/>
      <c r="G1043" s="90">
        <f t="shared" si="105"/>
        <v>0</v>
      </c>
      <c r="H1043" s="90">
        <f t="shared" si="105"/>
        <v>0</v>
      </c>
      <c r="I1043" s="422">
        <f t="shared" si="105"/>
        <v>0</v>
      </c>
      <c r="J1043" s="203" t="e">
        <f t="shared" si="101"/>
        <v>#DIV/0!</v>
      </c>
      <c r="K1043" s="433" t="e">
        <f t="shared" si="102"/>
        <v>#DIV/0!</v>
      </c>
    </row>
    <row r="1044" spans="1:11" ht="22.5" customHeight="1" hidden="1">
      <c r="A1044" s="93" t="s">
        <v>1084</v>
      </c>
      <c r="B1044" s="82" t="s">
        <v>892</v>
      </c>
      <c r="C1044" s="85" t="s">
        <v>584</v>
      </c>
      <c r="D1044" s="85" t="s">
        <v>584</v>
      </c>
      <c r="E1044" s="85" t="s">
        <v>1358</v>
      </c>
      <c r="F1044" s="85"/>
      <c r="G1044" s="90">
        <f t="shared" si="105"/>
        <v>0</v>
      </c>
      <c r="H1044" s="90">
        <f t="shared" si="105"/>
        <v>0</v>
      </c>
      <c r="I1044" s="422">
        <f t="shared" si="105"/>
        <v>0</v>
      </c>
      <c r="J1044" s="203" t="e">
        <f t="shared" si="101"/>
        <v>#DIV/0!</v>
      </c>
      <c r="K1044" s="433" t="e">
        <f t="shared" si="102"/>
        <v>#DIV/0!</v>
      </c>
    </row>
    <row r="1045" spans="1:11" ht="15" customHeight="1" hidden="1">
      <c r="A1045" s="87" t="s">
        <v>1085</v>
      </c>
      <c r="B1045" s="82" t="s">
        <v>892</v>
      </c>
      <c r="C1045" s="85" t="s">
        <v>584</v>
      </c>
      <c r="D1045" s="85" t="s">
        <v>584</v>
      </c>
      <c r="E1045" s="85" t="s">
        <v>1358</v>
      </c>
      <c r="F1045" s="85" t="s">
        <v>1878</v>
      </c>
      <c r="G1045" s="90"/>
      <c r="H1045" s="90"/>
      <c r="I1045" s="422"/>
      <c r="J1045" s="203" t="e">
        <f t="shared" si="101"/>
        <v>#DIV/0!</v>
      </c>
      <c r="K1045" s="433" t="e">
        <f t="shared" si="102"/>
        <v>#DIV/0!</v>
      </c>
    </row>
    <row r="1046" spans="1:11" ht="25.5" customHeight="1" hidden="1">
      <c r="A1046" s="114" t="s">
        <v>757</v>
      </c>
      <c r="B1046" s="82" t="s">
        <v>892</v>
      </c>
      <c r="C1046" s="85" t="s">
        <v>589</v>
      </c>
      <c r="D1046" s="85" t="s">
        <v>169</v>
      </c>
      <c r="E1046" s="85"/>
      <c r="F1046" s="85"/>
      <c r="G1046" s="90">
        <f>G1051+G1057+G1047</f>
        <v>0</v>
      </c>
      <c r="H1046" s="90">
        <f>H1051+H1057+H1047</f>
        <v>0</v>
      </c>
      <c r="I1046" s="422">
        <f>I1051+I1057+I1047</f>
        <v>0</v>
      </c>
      <c r="J1046" s="203" t="e">
        <f t="shared" si="101"/>
        <v>#DIV/0!</v>
      </c>
      <c r="K1046" s="433" t="e">
        <f t="shared" si="102"/>
        <v>#DIV/0!</v>
      </c>
    </row>
    <row r="1047" spans="1:11" ht="15" customHeight="1" hidden="1">
      <c r="A1047" s="91" t="s">
        <v>1372</v>
      </c>
      <c r="B1047" s="82" t="s">
        <v>892</v>
      </c>
      <c r="C1047" s="85" t="s">
        <v>589</v>
      </c>
      <c r="D1047" s="85" t="s">
        <v>141</v>
      </c>
      <c r="E1047" s="85"/>
      <c r="F1047" s="85"/>
      <c r="G1047" s="90">
        <f aca="true" t="shared" si="106" ref="G1047:I1049">G1048</f>
        <v>0</v>
      </c>
      <c r="H1047" s="90">
        <f t="shared" si="106"/>
        <v>0</v>
      </c>
      <c r="I1047" s="422">
        <f t="shared" si="106"/>
        <v>0</v>
      </c>
      <c r="J1047" s="203" t="e">
        <f t="shared" si="101"/>
        <v>#DIV/0!</v>
      </c>
      <c r="K1047" s="433" t="e">
        <f t="shared" si="102"/>
        <v>#DIV/0!</v>
      </c>
    </row>
    <row r="1048" spans="1:11" ht="22.5" customHeight="1" hidden="1">
      <c r="A1048" s="93" t="s">
        <v>758</v>
      </c>
      <c r="B1048" s="82" t="s">
        <v>892</v>
      </c>
      <c r="C1048" s="85" t="s">
        <v>589</v>
      </c>
      <c r="D1048" s="85" t="s">
        <v>141</v>
      </c>
      <c r="E1048" s="85" t="s">
        <v>1374</v>
      </c>
      <c r="F1048" s="85"/>
      <c r="G1048" s="90">
        <f t="shared" si="106"/>
        <v>0</v>
      </c>
      <c r="H1048" s="90">
        <f t="shared" si="106"/>
        <v>0</v>
      </c>
      <c r="I1048" s="422">
        <f t="shared" si="106"/>
        <v>0</v>
      </c>
      <c r="J1048" s="203" t="e">
        <f t="shared" si="101"/>
        <v>#DIV/0!</v>
      </c>
      <c r="K1048" s="433" t="e">
        <f t="shared" si="102"/>
        <v>#DIV/0!</v>
      </c>
    </row>
    <row r="1049" spans="1:11" ht="15" customHeight="1" hidden="1">
      <c r="A1049" s="87" t="s">
        <v>661</v>
      </c>
      <c r="B1049" s="82" t="s">
        <v>892</v>
      </c>
      <c r="C1049" s="85" t="s">
        <v>589</v>
      </c>
      <c r="D1049" s="85" t="s">
        <v>141</v>
      </c>
      <c r="E1049" s="85" t="s">
        <v>1375</v>
      </c>
      <c r="F1049" s="85" t="s">
        <v>1071</v>
      </c>
      <c r="G1049" s="90">
        <f t="shared" si="106"/>
        <v>0</v>
      </c>
      <c r="H1049" s="90">
        <f t="shared" si="106"/>
        <v>0</v>
      </c>
      <c r="I1049" s="422">
        <f t="shared" si="106"/>
        <v>0</v>
      </c>
      <c r="J1049" s="203" t="e">
        <f t="shared" si="101"/>
        <v>#DIV/0!</v>
      </c>
      <c r="K1049" s="433" t="e">
        <f t="shared" si="102"/>
        <v>#DIV/0!</v>
      </c>
    </row>
    <row r="1050" spans="1:11" ht="15" customHeight="1" hidden="1">
      <c r="A1050" s="87" t="s">
        <v>925</v>
      </c>
      <c r="B1050" s="82" t="s">
        <v>892</v>
      </c>
      <c r="C1050" s="85" t="s">
        <v>589</v>
      </c>
      <c r="D1050" s="85" t="s">
        <v>141</v>
      </c>
      <c r="E1050" s="85" t="s">
        <v>1375</v>
      </c>
      <c r="F1050" s="85" t="s">
        <v>926</v>
      </c>
      <c r="G1050" s="90">
        <f>16460-16460</f>
        <v>0</v>
      </c>
      <c r="H1050" s="90">
        <f>16460-16460</f>
        <v>0</v>
      </c>
      <c r="I1050" s="422">
        <f>16460-16460</f>
        <v>0</v>
      </c>
      <c r="J1050" s="203" t="e">
        <f t="shared" si="101"/>
        <v>#DIV/0!</v>
      </c>
      <c r="K1050" s="433" t="e">
        <f t="shared" si="102"/>
        <v>#DIV/0!</v>
      </c>
    </row>
    <row r="1051" spans="1:11" ht="15" customHeight="1" hidden="1">
      <c r="A1051" s="115" t="s">
        <v>471</v>
      </c>
      <c r="B1051" s="82" t="s">
        <v>892</v>
      </c>
      <c r="C1051" s="85" t="s">
        <v>589</v>
      </c>
      <c r="D1051" s="85" t="s">
        <v>1598</v>
      </c>
      <c r="E1051" s="116"/>
      <c r="F1051" s="116"/>
      <c r="G1051" s="90">
        <f aca="true" t="shared" si="107" ref="G1051:I1053">G1052</f>
        <v>0</v>
      </c>
      <c r="H1051" s="90">
        <f t="shared" si="107"/>
        <v>0</v>
      </c>
      <c r="I1051" s="422">
        <f t="shared" si="107"/>
        <v>0</v>
      </c>
      <c r="J1051" s="203" t="e">
        <f t="shared" si="101"/>
        <v>#DIV/0!</v>
      </c>
      <c r="K1051" s="433" t="e">
        <f t="shared" si="102"/>
        <v>#DIV/0!</v>
      </c>
    </row>
    <row r="1052" spans="1:11" ht="15" customHeight="1" hidden="1">
      <c r="A1052" s="93" t="s">
        <v>162</v>
      </c>
      <c r="B1052" s="82" t="s">
        <v>892</v>
      </c>
      <c r="C1052" s="85" t="s">
        <v>589</v>
      </c>
      <c r="D1052" s="85" t="s">
        <v>1598</v>
      </c>
      <c r="E1052" s="85" t="s">
        <v>163</v>
      </c>
      <c r="F1052" s="85"/>
      <c r="G1052" s="90">
        <f t="shared" si="107"/>
        <v>0</v>
      </c>
      <c r="H1052" s="90">
        <f t="shared" si="107"/>
        <v>0</v>
      </c>
      <c r="I1052" s="422">
        <f t="shared" si="107"/>
        <v>0</v>
      </c>
      <c r="J1052" s="203" t="e">
        <f t="shared" si="101"/>
        <v>#DIV/0!</v>
      </c>
      <c r="K1052" s="433" t="e">
        <f t="shared" si="102"/>
        <v>#DIV/0!</v>
      </c>
    </row>
    <row r="1053" spans="1:11" ht="15" customHeight="1" hidden="1">
      <c r="A1053" s="87" t="s">
        <v>164</v>
      </c>
      <c r="B1053" s="82" t="s">
        <v>892</v>
      </c>
      <c r="C1053" s="85" t="s">
        <v>589</v>
      </c>
      <c r="D1053" s="85" t="s">
        <v>1598</v>
      </c>
      <c r="E1053" s="85" t="s">
        <v>165</v>
      </c>
      <c r="F1053" s="85" t="s">
        <v>1071</v>
      </c>
      <c r="G1053" s="90">
        <f t="shared" si="107"/>
        <v>0</v>
      </c>
      <c r="H1053" s="90">
        <f t="shared" si="107"/>
        <v>0</v>
      </c>
      <c r="I1053" s="422">
        <f t="shared" si="107"/>
        <v>0</v>
      </c>
      <c r="J1053" s="203" t="e">
        <f t="shared" si="101"/>
        <v>#DIV/0!</v>
      </c>
      <c r="K1053" s="433" t="e">
        <f t="shared" si="102"/>
        <v>#DIV/0!</v>
      </c>
    </row>
    <row r="1054" spans="1:11" ht="15" customHeight="1" hidden="1">
      <c r="A1054" s="87" t="s">
        <v>924</v>
      </c>
      <c r="B1054" s="82" t="s">
        <v>892</v>
      </c>
      <c r="C1054" s="85" t="s">
        <v>589</v>
      </c>
      <c r="D1054" s="85" t="s">
        <v>1598</v>
      </c>
      <c r="E1054" s="85" t="s">
        <v>165</v>
      </c>
      <c r="F1054" s="85" t="s">
        <v>1881</v>
      </c>
      <c r="G1054" s="90"/>
      <c r="H1054" s="90"/>
      <c r="I1054" s="422"/>
      <c r="J1054" s="203" t="e">
        <f t="shared" si="101"/>
        <v>#DIV/0!</v>
      </c>
      <c r="K1054" s="433" t="e">
        <f t="shared" si="102"/>
        <v>#DIV/0!</v>
      </c>
    </row>
    <row r="1055" spans="1:11" ht="15" customHeight="1" hidden="1">
      <c r="A1055" s="94"/>
      <c r="B1055" s="82"/>
      <c r="C1055" s="85"/>
      <c r="D1055" s="85"/>
      <c r="E1055" s="85"/>
      <c r="F1055" s="85"/>
      <c r="G1055" s="90">
        <f>G1056</f>
        <v>0</v>
      </c>
      <c r="H1055" s="90">
        <f>H1056</f>
        <v>0</v>
      </c>
      <c r="I1055" s="422">
        <f>I1056</f>
        <v>0</v>
      </c>
      <c r="J1055" s="203" t="e">
        <f t="shared" si="101"/>
        <v>#DIV/0!</v>
      </c>
      <c r="K1055" s="433" t="e">
        <f t="shared" si="102"/>
        <v>#DIV/0!</v>
      </c>
    </row>
    <row r="1056" spans="1:11" ht="15" customHeight="1" hidden="1">
      <c r="A1056" s="372"/>
      <c r="B1056" s="97"/>
      <c r="C1056" s="83"/>
      <c r="D1056" s="83"/>
      <c r="E1056" s="83"/>
      <c r="F1056" s="83"/>
      <c r="G1056" s="84"/>
      <c r="H1056" s="84"/>
      <c r="I1056" s="426"/>
      <c r="J1056" s="203" t="e">
        <f t="shared" si="101"/>
        <v>#DIV/0!</v>
      </c>
      <c r="K1056" s="433" t="e">
        <f t="shared" si="102"/>
        <v>#DIV/0!</v>
      </c>
    </row>
    <row r="1057" spans="1:11" ht="15" customHeight="1" hidden="1">
      <c r="A1057" s="96" t="s">
        <v>166</v>
      </c>
      <c r="B1057" s="82" t="s">
        <v>892</v>
      </c>
      <c r="C1057" s="85" t="s">
        <v>589</v>
      </c>
      <c r="D1057" s="85" t="s">
        <v>1603</v>
      </c>
      <c r="E1057" s="85"/>
      <c r="F1057" s="85"/>
      <c r="G1057" s="90">
        <f>G1058</f>
        <v>0</v>
      </c>
      <c r="H1057" s="90">
        <f>H1058</f>
        <v>0</v>
      </c>
      <c r="I1057" s="422">
        <f>I1058</f>
        <v>0</v>
      </c>
      <c r="J1057" s="203" t="e">
        <f t="shared" si="101"/>
        <v>#DIV/0!</v>
      </c>
      <c r="K1057" s="433" t="e">
        <f t="shared" si="102"/>
        <v>#DIV/0!</v>
      </c>
    </row>
    <row r="1058" spans="1:11" ht="22.5" customHeight="1" hidden="1">
      <c r="A1058" s="117" t="s">
        <v>759</v>
      </c>
      <c r="B1058" s="82" t="s">
        <v>892</v>
      </c>
      <c r="C1058" s="85" t="s">
        <v>589</v>
      </c>
      <c r="D1058" s="85" t="s">
        <v>1603</v>
      </c>
      <c r="E1058" s="85" t="s">
        <v>1383</v>
      </c>
      <c r="F1058" s="85"/>
      <c r="G1058" s="90">
        <f>G1059+G1061</f>
        <v>0</v>
      </c>
      <c r="H1058" s="90">
        <f>H1059+H1061</f>
        <v>0</v>
      </c>
      <c r="I1058" s="422">
        <f>I1059+I1061</f>
        <v>0</v>
      </c>
      <c r="J1058" s="203" t="e">
        <f t="shared" si="101"/>
        <v>#DIV/0!</v>
      </c>
      <c r="K1058" s="433" t="e">
        <f t="shared" si="102"/>
        <v>#DIV/0!</v>
      </c>
    </row>
    <row r="1059" spans="1:11" ht="22.5" customHeight="1" hidden="1">
      <c r="A1059" s="87" t="s">
        <v>167</v>
      </c>
      <c r="B1059" s="82" t="s">
        <v>892</v>
      </c>
      <c r="C1059" s="85" t="s">
        <v>589</v>
      </c>
      <c r="D1059" s="85" t="s">
        <v>1603</v>
      </c>
      <c r="E1059" s="85" t="s">
        <v>168</v>
      </c>
      <c r="F1059" s="85" t="s">
        <v>1071</v>
      </c>
      <c r="G1059" s="90">
        <f>G1060</f>
        <v>0</v>
      </c>
      <c r="H1059" s="90">
        <f>H1060</f>
        <v>0</v>
      </c>
      <c r="I1059" s="422">
        <f>I1060</f>
        <v>0</v>
      </c>
      <c r="J1059" s="203" t="e">
        <f t="shared" si="101"/>
        <v>#DIV/0!</v>
      </c>
      <c r="K1059" s="433" t="e">
        <f t="shared" si="102"/>
        <v>#DIV/0!</v>
      </c>
    </row>
    <row r="1060" spans="1:11" ht="15" customHeight="1" hidden="1">
      <c r="A1060" s="87" t="s">
        <v>924</v>
      </c>
      <c r="B1060" s="82" t="s">
        <v>892</v>
      </c>
      <c r="C1060" s="85" t="s">
        <v>589</v>
      </c>
      <c r="D1060" s="85" t="s">
        <v>1603</v>
      </c>
      <c r="E1060" s="85" t="s">
        <v>168</v>
      </c>
      <c r="F1060" s="85" t="s">
        <v>1881</v>
      </c>
      <c r="G1060" s="90"/>
      <c r="H1060" s="90"/>
      <c r="I1060" s="422"/>
      <c r="J1060" s="203" t="e">
        <f t="shared" si="101"/>
        <v>#DIV/0!</v>
      </c>
      <c r="K1060" s="433" t="e">
        <f t="shared" si="102"/>
        <v>#DIV/0!</v>
      </c>
    </row>
    <row r="1061" spans="1:11" ht="22.5" customHeight="1" hidden="1">
      <c r="A1061" s="87" t="s">
        <v>44</v>
      </c>
      <c r="B1061" s="82" t="s">
        <v>892</v>
      </c>
      <c r="C1061" s="85" t="s">
        <v>589</v>
      </c>
      <c r="D1061" s="85" t="s">
        <v>1603</v>
      </c>
      <c r="E1061" s="85" t="s">
        <v>42</v>
      </c>
      <c r="F1061" s="85" t="s">
        <v>1071</v>
      </c>
      <c r="G1061" s="90">
        <f>G1062</f>
        <v>0</v>
      </c>
      <c r="H1061" s="90">
        <f>H1062</f>
        <v>0</v>
      </c>
      <c r="I1061" s="422">
        <f>I1062</f>
        <v>0</v>
      </c>
      <c r="J1061" s="203" t="e">
        <f t="shared" si="101"/>
        <v>#DIV/0!</v>
      </c>
      <c r="K1061" s="433" t="e">
        <f t="shared" si="102"/>
        <v>#DIV/0!</v>
      </c>
    </row>
    <row r="1062" spans="1:11" ht="15.75" hidden="1">
      <c r="A1062" s="87" t="s">
        <v>1100</v>
      </c>
      <c r="B1062" s="82" t="s">
        <v>892</v>
      </c>
      <c r="C1062" s="85" t="s">
        <v>589</v>
      </c>
      <c r="D1062" s="85" t="s">
        <v>1603</v>
      </c>
      <c r="E1062" s="85" t="s">
        <v>42</v>
      </c>
      <c r="F1062" s="85" t="s">
        <v>1243</v>
      </c>
      <c r="G1062" s="90">
        <f>2006-2006</f>
        <v>0</v>
      </c>
      <c r="H1062" s="90">
        <f>2006-2006</f>
        <v>0</v>
      </c>
      <c r="I1062" s="422">
        <f>2006-2006</f>
        <v>0</v>
      </c>
      <c r="J1062" s="203" t="e">
        <f t="shared" si="101"/>
        <v>#DIV/0!</v>
      </c>
      <c r="K1062" s="433" t="e">
        <f t="shared" si="102"/>
        <v>#DIV/0!</v>
      </c>
    </row>
    <row r="1063" spans="1:11" ht="15.75" hidden="1">
      <c r="A1063" s="88" t="s">
        <v>760</v>
      </c>
      <c r="B1063" s="82" t="s">
        <v>892</v>
      </c>
      <c r="C1063" s="85" t="s">
        <v>1788</v>
      </c>
      <c r="D1063" s="85"/>
      <c r="E1063" s="85"/>
      <c r="F1063" s="85"/>
      <c r="G1063" s="90">
        <f aca="true" t="shared" si="108" ref="G1063:I1065">G1064</f>
        <v>0</v>
      </c>
      <c r="H1063" s="90">
        <f t="shared" si="108"/>
        <v>0</v>
      </c>
      <c r="I1063" s="422">
        <f t="shared" si="108"/>
        <v>0</v>
      </c>
      <c r="J1063" s="203" t="e">
        <f t="shared" si="101"/>
        <v>#DIV/0!</v>
      </c>
      <c r="K1063" s="433" t="e">
        <f t="shared" si="102"/>
        <v>#DIV/0!</v>
      </c>
    </row>
    <row r="1064" spans="1:11" ht="15.75" hidden="1">
      <c r="A1064" s="96" t="s">
        <v>364</v>
      </c>
      <c r="B1064" s="82" t="s">
        <v>892</v>
      </c>
      <c r="C1064" s="85" t="s">
        <v>1788</v>
      </c>
      <c r="D1064" s="85" t="s">
        <v>589</v>
      </c>
      <c r="E1064" s="85"/>
      <c r="F1064" s="85"/>
      <c r="G1064" s="90">
        <f t="shared" si="108"/>
        <v>0</v>
      </c>
      <c r="H1064" s="90">
        <f t="shared" si="108"/>
        <v>0</v>
      </c>
      <c r="I1064" s="422">
        <f t="shared" si="108"/>
        <v>0</v>
      </c>
      <c r="J1064" s="203" t="e">
        <f t="shared" si="101"/>
        <v>#DIV/0!</v>
      </c>
      <c r="K1064" s="433" t="e">
        <f t="shared" si="102"/>
        <v>#DIV/0!</v>
      </c>
    </row>
    <row r="1065" spans="1:11" ht="15.75" hidden="1">
      <c r="A1065" s="87" t="s">
        <v>661</v>
      </c>
      <c r="B1065" s="82" t="s">
        <v>892</v>
      </c>
      <c r="C1065" s="85" t="s">
        <v>1788</v>
      </c>
      <c r="D1065" s="85" t="s">
        <v>589</v>
      </c>
      <c r="E1065" s="85" t="s">
        <v>243</v>
      </c>
      <c r="F1065" s="85"/>
      <c r="G1065" s="90">
        <f t="shared" si="108"/>
        <v>0</v>
      </c>
      <c r="H1065" s="90">
        <f t="shared" si="108"/>
        <v>0</v>
      </c>
      <c r="I1065" s="422">
        <f t="shared" si="108"/>
        <v>0</v>
      </c>
      <c r="J1065" s="203" t="e">
        <f t="shared" si="101"/>
        <v>#DIV/0!</v>
      </c>
      <c r="K1065" s="433" t="e">
        <f t="shared" si="102"/>
        <v>#DIV/0!</v>
      </c>
    </row>
    <row r="1066" spans="1:11" ht="15.75" hidden="1">
      <c r="A1066" s="87" t="s">
        <v>925</v>
      </c>
      <c r="B1066" s="82" t="s">
        <v>892</v>
      </c>
      <c r="C1066" s="85" t="s">
        <v>1788</v>
      </c>
      <c r="D1066" s="85" t="s">
        <v>589</v>
      </c>
      <c r="E1066" s="85" t="s">
        <v>243</v>
      </c>
      <c r="F1066" s="85" t="s">
        <v>926</v>
      </c>
      <c r="G1066" s="90"/>
      <c r="H1066" s="90"/>
      <c r="I1066" s="422"/>
      <c r="J1066" s="203" t="e">
        <f t="shared" si="101"/>
        <v>#DIV/0!</v>
      </c>
      <c r="K1066" s="433" t="e">
        <f t="shared" si="102"/>
        <v>#DIV/0!</v>
      </c>
    </row>
    <row r="1067" spans="1:11" ht="24">
      <c r="A1067" s="87" t="s">
        <v>187</v>
      </c>
      <c r="B1067" s="82" t="s">
        <v>892</v>
      </c>
      <c r="C1067" s="85" t="s">
        <v>583</v>
      </c>
      <c r="D1067" s="85" t="s">
        <v>1598</v>
      </c>
      <c r="E1067" s="85" t="s">
        <v>1063</v>
      </c>
      <c r="F1067" s="85" t="s">
        <v>188</v>
      </c>
      <c r="G1067" s="90"/>
      <c r="H1067" s="90">
        <v>102</v>
      </c>
      <c r="I1067" s="422">
        <v>100</v>
      </c>
      <c r="J1067" s="203"/>
      <c r="K1067" s="433">
        <f t="shared" si="102"/>
        <v>98.0392156862745</v>
      </c>
    </row>
    <row r="1068" spans="1:11" ht="15">
      <c r="A1068" s="92" t="s">
        <v>246</v>
      </c>
      <c r="B1068" s="82" t="s">
        <v>892</v>
      </c>
      <c r="C1068" s="85" t="s">
        <v>1795</v>
      </c>
      <c r="D1068" s="85"/>
      <c r="E1068" s="85"/>
      <c r="F1068" s="109"/>
      <c r="G1068" s="90">
        <f>G1069+G1074+G1207</f>
        <v>69449.2</v>
      </c>
      <c r="H1068" s="90">
        <f>H1069+H1074+H1207</f>
        <v>108103.8</v>
      </c>
      <c r="I1068" s="422">
        <f>I1069+I1074+I1207</f>
        <v>71969.39999999998</v>
      </c>
      <c r="J1068" s="203">
        <f t="shared" si="101"/>
        <v>103.62883949707123</v>
      </c>
      <c r="K1068" s="433">
        <f t="shared" si="102"/>
        <v>66.5743479877673</v>
      </c>
    </row>
    <row r="1069" spans="1:11" ht="15">
      <c r="A1069" s="91" t="s">
        <v>355</v>
      </c>
      <c r="B1069" s="82" t="s">
        <v>892</v>
      </c>
      <c r="C1069" s="102" t="s">
        <v>1795</v>
      </c>
      <c r="D1069" s="102" t="s">
        <v>141</v>
      </c>
      <c r="E1069" s="102"/>
      <c r="F1069" s="102"/>
      <c r="G1069" s="105">
        <f aca="true" t="shared" si="109" ref="G1069:I1072">G1070</f>
        <v>6767</v>
      </c>
      <c r="H1069" s="105">
        <f t="shared" si="109"/>
        <v>6767</v>
      </c>
      <c r="I1069" s="429">
        <f t="shared" si="109"/>
        <v>5338.4</v>
      </c>
      <c r="J1069" s="203">
        <f t="shared" si="101"/>
        <v>78.88872469336485</v>
      </c>
      <c r="K1069" s="433">
        <f t="shared" si="102"/>
        <v>78.88872469336485</v>
      </c>
    </row>
    <row r="1070" spans="1:11" ht="24">
      <c r="A1070" s="93" t="s">
        <v>247</v>
      </c>
      <c r="B1070" s="82" t="s">
        <v>892</v>
      </c>
      <c r="C1070" s="102" t="s">
        <v>1795</v>
      </c>
      <c r="D1070" s="102" t="s">
        <v>141</v>
      </c>
      <c r="E1070" s="102" t="s">
        <v>248</v>
      </c>
      <c r="F1070" s="102"/>
      <c r="G1070" s="105">
        <f t="shared" si="109"/>
        <v>6767</v>
      </c>
      <c r="H1070" s="105">
        <f t="shared" si="109"/>
        <v>6767</v>
      </c>
      <c r="I1070" s="429">
        <f t="shared" si="109"/>
        <v>5338.4</v>
      </c>
      <c r="J1070" s="203">
        <f t="shared" si="101"/>
        <v>78.88872469336485</v>
      </c>
      <c r="K1070" s="433">
        <f t="shared" si="102"/>
        <v>78.88872469336485</v>
      </c>
    </row>
    <row r="1071" spans="1:11" ht="24">
      <c r="A1071" s="370" t="s">
        <v>249</v>
      </c>
      <c r="B1071" s="82" t="s">
        <v>892</v>
      </c>
      <c r="C1071" s="85" t="s">
        <v>1795</v>
      </c>
      <c r="D1071" s="85" t="s">
        <v>141</v>
      </c>
      <c r="E1071" s="85" t="s">
        <v>250</v>
      </c>
      <c r="F1071" s="85"/>
      <c r="G1071" s="90">
        <f t="shared" si="109"/>
        <v>6767</v>
      </c>
      <c r="H1071" s="90">
        <f t="shared" si="109"/>
        <v>6767</v>
      </c>
      <c r="I1071" s="422">
        <f t="shared" si="109"/>
        <v>5338.4</v>
      </c>
      <c r="J1071" s="203">
        <f t="shared" si="101"/>
        <v>78.88872469336485</v>
      </c>
      <c r="K1071" s="433">
        <f t="shared" si="102"/>
        <v>78.88872469336485</v>
      </c>
    </row>
    <row r="1072" spans="1:11" ht="24">
      <c r="A1072" s="87" t="s">
        <v>1425</v>
      </c>
      <c r="B1072" s="82" t="s">
        <v>892</v>
      </c>
      <c r="C1072" s="85" t="s">
        <v>1795</v>
      </c>
      <c r="D1072" s="85" t="s">
        <v>141</v>
      </c>
      <c r="E1072" s="85" t="s">
        <v>1230</v>
      </c>
      <c r="F1072" s="85" t="s">
        <v>1071</v>
      </c>
      <c r="G1072" s="90">
        <f t="shared" si="109"/>
        <v>6767</v>
      </c>
      <c r="H1072" s="90">
        <f t="shared" si="109"/>
        <v>6767</v>
      </c>
      <c r="I1072" s="422">
        <f t="shared" si="109"/>
        <v>5338.4</v>
      </c>
      <c r="J1072" s="203">
        <f t="shared" si="101"/>
        <v>78.88872469336485</v>
      </c>
      <c r="K1072" s="433">
        <f t="shared" si="102"/>
        <v>78.88872469336485</v>
      </c>
    </row>
    <row r="1073" spans="1:11" ht="24">
      <c r="A1073" s="87" t="s">
        <v>1786</v>
      </c>
      <c r="B1073" s="82" t="s">
        <v>892</v>
      </c>
      <c r="C1073" s="85" t="s">
        <v>1795</v>
      </c>
      <c r="D1073" s="85" t="s">
        <v>141</v>
      </c>
      <c r="E1073" s="85" t="s">
        <v>1230</v>
      </c>
      <c r="F1073" s="85" t="s">
        <v>1880</v>
      </c>
      <c r="G1073" s="90">
        <v>6767</v>
      </c>
      <c r="H1073" s="90">
        <v>6767</v>
      </c>
      <c r="I1073" s="422">
        <v>5338.4</v>
      </c>
      <c r="J1073" s="203">
        <f t="shared" si="101"/>
        <v>78.88872469336485</v>
      </c>
      <c r="K1073" s="433">
        <f t="shared" si="102"/>
        <v>78.88872469336485</v>
      </c>
    </row>
    <row r="1074" spans="1:11" ht="15">
      <c r="A1074" s="91" t="s">
        <v>358</v>
      </c>
      <c r="B1074" s="82" t="s">
        <v>892</v>
      </c>
      <c r="C1074" s="85" t="s">
        <v>1795</v>
      </c>
      <c r="D1074" s="85" t="s">
        <v>1598</v>
      </c>
      <c r="E1074" s="85"/>
      <c r="F1074" s="85"/>
      <c r="G1074" s="90">
        <f>G1075+G1077+G1083+G1177+G1188+G1199</f>
        <v>60039.2</v>
      </c>
      <c r="H1074" s="90">
        <f>H1075+H1077+H1083+H1177+H1188+H1199</f>
        <v>98693.8</v>
      </c>
      <c r="I1074" s="422">
        <f>I1075+I1077+I1083+I1177+I1188+I1199</f>
        <v>66630.99999999999</v>
      </c>
      <c r="J1074" s="203">
        <f t="shared" si="101"/>
        <v>110.97916028194912</v>
      </c>
      <c r="K1074" s="433">
        <f t="shared" si="102"/>
        <v>67.51285288437569</v>
      </c>
    </row>
    <row r="1075" spans="1:11" ht="72">
      <c r="A1075" s="92" t="s">
        <v>1426</v>
      </c>
      <c r="B1075" s="82" t="s">
        <v>892</v>
      </c>
      <c r="C1075" s="85" t="s">
        <v>1795</v>
      </c>
      <c r="D1075" s="85" t="s">
        <v>1598</v>
      </c>
      <c r="E1075" s="85" t="s">
        <v>324</v>
      </c>
      <c r="F1075" s="85" t="s">
        <v>1071</v>
      </c>
      <c r="G1075" s="90">
        <f>G1076</f>
        <v>0</v>
      </c>
      <c r="H1075" s="90">
        <f>H1076</f>
        <v>500.1</v>
      </c>
      <c r="I1075" s="422">
        <f>I1076</f>
        <v>500.1</v>
      </c>
      <c r="J1075" s="203"/>
      <c r="K1075" s="433">
        <f t="shared" si="102"/>
        <v>100</v>
      </c>
    </row>
    <row r="1076" spans="1:11" ht="36">
      <c r="A1076" s="92" t="s">
        <v>1427</v>
      </c>
      <c r="B1076" s="82" t="s">
        <v>892</v>
      </c>
      <c r="C1076" s="85" t="s">
        <v>1795</v>
      </c>
      <c r="D1076" s="85" t="s">
        <v>1598</v>
      </c>
      <c r="E1076" s="85" t="s">
        <v>324</v>
      </c>
      <c r="F1076" s="85" t="s">
        <v>326</v>
      </c>
      <c r="G1076" s="90"/>
      <c r="H1076" s="90">
        <v>500.1</v>
      </c>
      <c r="I1076" s="422">
        <v>500.1</v>
      </c>
      <c r="J1076" s="203"/>
      <c r="K1076" s="433">
        <f t="shared" si="102"/>
        <v>100</v>
      </c>
    </row>
    <row r="1077" spans="1:11" ht="24">
      <c r="A1077" s="86" t="s">
        <v>1279</v>
      </c>
      <c r="B1077" s="82" t="s">
        <v>892</v>
      </c>
      <c r="C1077" s="85" t="s">
        <v>1795</v>
      </c>
      <c r="D1077" s="85" t="s">
        <v>1598</v>
      </c>
      <c r="E1077" s="85" t="s">
        <v>1429</v>
      </c>
      <c r="F1077" s="85" t="s">
        <v>1071</v>
      </c>
      <c r="G1077" s="90">
        <f>G1078+G1080</f>
        <v>0</v>
      </c>
      <c r="H1077" s="90">
        <f>H1078+H1080</f>
        <v>21175.5</v>
      </c>
      <c r="I1077" s="422">
        <f>I1078+I1080</f>
        <v>3203.1</v>
      </c>
      <c r="J1077" s="203"/>
      <c r="K1077" s="433">
        <f t="shared" si="102"/>
        <v>15.126443295317701</v>
      </c>
    </row>
    <row r="1078" spans="1:11" ht="24">
      <c r="A1078" s="92" t="s">
        <v>1430</v>
      </c>
      <c r="B1078" s="82" t="s">
        <v>892</v>
      </c>
      <c r="C1078" s="85" t="s">
        <v>1795</v>
      </c>
      <c r="D1078" s="85" t="s">
        <v>1598</v>
      </c>
      <c r="E1078" s="85" t="s">
        <v>797</v>
      </c>
      <c r="F1078" s="85" t="s">
        <v>1071</v>
      </c>
      <c r="G1078" s="84">
        <f>G1079</f>
        <v>0</v>
      </c>
      <c r="H1078" s="84">
        <f>H1079</f>
        <v>19426</v>
      </c>
      <c r="I1078" s="426">
        <f>I1079</f>
        <v>2511</v>
      </c>
      <c r="J1078" s="203"/>
      <c r="K1078" s="433">
        <f t="shared" si="102"/>
        <v>12.925975496756923</v>
      </c>
    </row>
    <row r="1079" spans="1:11" ht="24">
      <c r="A1079" s="92" t="s">
        <v>1431</v>
      </c>
      <c r="B1079" s="82" t="s">
        <v>892</v>
      </c>
      <c r="C1079" s="85" t="s">
        <v>1795</v>
      </c>
      <c r="D1079" s="85" t="s">
        <v>1598</v>
      </c>
      <c r="E1079" s="85" t="s">
        <v>797</v>
      </c>
      <c r="F1079" s="85" t="s">
        <v>1432</v>
      </c>
      <c r="G1079" s="84"/>
      <c r="H1079" s="84">
        <v>19426</v>
      </c>
      <c r="I1079" s="426">
        <v>2511</v>
      </c>
      <c r="J1079" s="203"/>
      <c r="K1079" s="433">
        <f t="shared" si="102"/>
        <v>12.925975496756923</v>
      </c>
    </row>
    <row r="1080" spans="1:11" ht="24">
      <c r="A1080" s="92" t="s">
        <v>1231</v>
      </c>
      <c r="B1080" s="82" t="s">
        <v>892</v>
      </c>
      <c r="C1080" s="85" t="s">
        <v>1795</v>
      </c>
      <c r="D1080" s="85" t="s">
        <v>1598</v>
      </c>
      <c r="E1080" s="85" t="s">
        <v>798</v>
      </c>
      <c r="F1080" s="85" t="s">
        <v>1071</v>
      </c>
      <c r="G1080" s="90">
        <f>G1081+G1082</f>
        <v>0</v>
      </c>
      <c r="H1080" s="90">
        <f>H1081+H1082</f>
        <v>1749.5</v>
      </c>
      <c r="I1080" s="422">
        <f>I1081+I1082</f>
        <v>692.1</v>
      </c>
      <c r="J1080" s="203"/>
      <c r="K1080" s="433">
        <f t="shared" si="102"/>
        <v>39.55987424978565</v>
      </c>
    </row>
    <row r="1081" spans="1:11" ht="24">
      <c r="A1081" s="92" t="s">
        <v>1431</v>
      </c>
      <c r="B1081" s="82" t="s">
        <v>892</v>
      </c>
      <c r="C1081" s="85" t="s">
        <v>1795</v>
      </c>
      <c r="D1081" s="85" t="s">
        <v>1598</v>
      </c>
      <c r="E1081" s="85" t="s">
        <v>798</v>
      </c>
      <c r="F1081" s="85" t="s">
        <v>1432</v>
      </c>
      <c r="G1081" s="90"/>
      <c r="H1081" s="90">
        <v>1008</v>
      </c>
      <c r="I1081" s="422"/>
      <c r="J1081" s="203"/>
      <c r="K1081" s="433">
        <f t="shared" si="102"/>
        <v>0</v>
      </c>
    </row>
    <row r="1082" spans="1:11" ht="24">
      <c r="A1082" s="92" t="s">
        <v>1232</v>
      </c>
      <c r="B1082" s="82" t="s">
        <v>892</v>
      </c>
      <c r="C1082" s="85" t="s">
        <v>1795</v>
      </c>
      <c r="D1082" s="85" t="s">
        <v>1598</v>
      </c>
      <c r="E1082" s="85" t="s">
        <v>798</v>
      </c>
      <c r="F1082" s="85" t="s">
        <v>1434</v>
      </c>
      <c r="G1082" s="90"/>
      <c r="H1082" s="90">
        <v>741.5</v>
      </c>
      <c r="I1082" s="422">
        <v>692.1</v>
      </c>
      <c r="J1082" s="203"/>
      <c r="K1082" s="433">
        <f t="shared" si="102"/>
        <v>93.3378287255563</v>
      </c>
    </row>
    <row r="1083" spans="1:11" ht="24">
      <c r="A1083" s="93" t="s">
        <v>1605</v>
      </c>
      <c r="B1083" s="82" t="s">
        <v>892</v>
      </c>
      <c r="C1083" s="85" t="s">
        <v>1795</v>
      </c>
      <c r="D1083" s="85" t="s">
        <v>1598</v>
      </c>
      <c r="E1083" s="85" t="s">
        <v>1234</v>
      </c>
      <c r="F1083" s="85"/>
      <c r="G1083" s="90">
        <f>G1084+G1169</f>
        <v>55939.2</v>
      </c>
      <c r="H1083" s="90">
        <f>H1084+H1169</f>
        <v>65681</v>
      </c>
      <c r="I1083" s="422">
        <f>I1084+I1169</f>
        <v>55769.09999999999</v>
      </c>
      <c r="J1083" s="203">
        <f t="shared" si="101"/>
        <v>99.69591985584347</v>
      </c>
      <c r="K1083" s="433">
        <f t="shared" si="102"/>
        <v>84.9090300086783</v>
      </c>
    </row>
    <row r="1084" spans="1:11" ht="24">
      <c r="A1084" s="86" t="s">
        <v>520</v>
      </c>
      <c r="B1084" s="82" t="s">
        <v>892</v>
      </c>
      <c r="C1084" s="85" t="s">
        <v>1795</v>
      </c>
      <c r="D1084" s="85" t="s">
        <v>1598</v>
      </c>
      <c r="E1084" s="85" t="s">
        <v>1606</v>
      </c>
      <c r="F1084" s="85"/>
      <c r="G1084" s="90">
        <f>G1085+G1088+G1090+G1093+G1095+G1097+G1099+G1101+G1108+G1110+G1113+G1116+G1119+G1122+G1125+G1128+G1131+G1134+G1137+G1140+G1143+G1146+G1152+G1149+G1155+G1158+G1161+G1163+G1166</f>
        <v>54886.2</v>
      </c>
      <c r="H1084" s="90">
        <f>H1085+H1088+H1090+H1093+H1095+H1097+H1099+H1101+H1108+H1110+H1113+H1116+H1119+H1122+H1125+H1128+H1131+H1134+H1137+H1140+H1143+H1146+H1152+H1149+H1155+H1158+H1161+H1163+H1166</f>
        <v>65561</v>
      </c>
      <c r="I1084" s="422">
        <f>I1085+I1088+I1090+I1093+I1095+I1097+I1099+I1101+I1108+I1110+I1113+I1116+I1119+I1122+I1125+I1128+I1131+I1134+I1137+I1140+I1143+I1146+I1152+I1149+I1155+I1158+I1161+I1163+I1166</f>
        <v>55649.19999999999</v>
      </c>
      <c r="J1084" s="203">
        <f aca="true" t="shared" si="110" ref="J1084:J1147">I1084/G1084*100</f>
        <v>101.39014907208004</v>
      </c>
      <c r="K1084" s="433">
        <f aca="true" t="shared" si="111" ref="K1084:K1146">I1084/H1084*100</f>
        <v>84.88156068394318</v>
      </c>
    </row>
    <row r="1085" spans="1:11" ht="24">
      <c r="A1085" s="369" t="s">
        <v>528</v>
      </c>
      <c r="B1085" s="82" t="s">
        <v>892</v>
      </c>
      <c r="C1085" s="85" t="s">
        <v>1795</v>
      </c>
      <c r="D1085" s="85" t="s">
        <v>1598</v>
      </c>
      <c r="E1085" s="85" t="s">
        <v>526</v>
      </c>
      <c r="F1085" s="314" t="s">
        <v>1071</v>
      </c>
      <c r="G1085" s="90">
        <f>G1086</f>
        <v>1169</v>
      </c>
      <c r="H1085" s="90">
        <f>H1086</f>
        <v>1169</v>
      </c>
      <c r="I1085" s="422">
        <f>I1086</f>
        <v>303.7</v>
      </c>
      <c r="J1085" s="203">
        <f t="shared" si="110"/>
        <v>25.979469632164243</v>
      </c>
      <c r="K1085" s="433">
        <f t="shared" si="111"/>
        <v>25.979469632164243</v>
      </c>
    </row>
    <row r="1086" spans="1:11" ht="48">
      <c r="A1086" s="87" t="s">
        <v>1716</v>
      </c>
      <c r="B1086" s="82" t="s">
        <v>892</v>
      </c>
      <c r="C1086" s="85" t="s">
        <v>1795</v>
      </c>
      <c r="D1086" s="85" t="s">
        <v>1598</v>
      </c>
      <c r="E1086" s="85" t="s">
        <v>1650</v>
      </c>
      <c r="F1086" s="85" t="s">
        <v>1071</v>
      </c>
      <c r="G1086" s="90">
        <f>G1087+G1092</f>
        <v>1169</v>
      </c>
      <c r="H1086" s="90">
        <f>H1087+H1092</f>
        <v>1169</v>
      </c>
      <c r="I1086" s="422">
        <f>I1087+I1092</f>
        <v>303.7</v>
      </c>
      <c r="J1086" s="203">
        <f t="shared" si="110"/>
        <v>25.979469632164243</v>
      </c>
      <c r="K1086" s="433">
        <f t="shared" si="111"/>
        <v>25.979469632164243</v>
      </c>
    </row>
    <row r="1087" spans="1:11" ht="24">
      <c r="A1087" s="87" t="s">
        <v>1786</v>
      </c>
      <c r="B1087" s="82" t="s">
        <v>892</v>
      </c>
      <c r="C1087" s="85" t="s">
        <v>1795</v>
      </c>
      <c r="D1087" s="85" t="s">
        <v>1598</v>
      </c>
      <c r="E1087" s="85" t="s">
        <v>1650</v>
      </c>
      <c r="F1087" s="85" t="s">
        <v>1880</v>
      </c>
      <c r="G1087" s="90">
        <v>1169</v>
      </c>
      <c r="H1087" s="90">
        <v>0</v>
      </c>
      <c r="I1087" s="422"/>
      <c r="J1087" s="203">
        <f t="shared" si="110"/>
        <v>0</v>
      </c>
      <c r="K1087" s="433"/>
    </row>
    <row r="1088" spans="1:11" ht="108.75" hidden="1">
      <c r="A1088" s="367" t="s">
        <v>530</v>
      </c>
      <c r="B1088" s="82" t="s">
        <v>892</v>
      </c>
      <c r="C1088" s="85" t="s">
        <v>1795</v>
      </c>
      <c r="D1088" s="85" t="s">
        <v>1598</v>
      </c>
      <c r="E1088" s="85" t="s">
        <v>531</v>
      </c>
      <c r="F1088" s="85"/>
      <c r="G1088" s="90">
        <f>G1089</f>
        <v>0</v>
      </c>
      <c r="H1088" s="90">
        <f>H1089</f>
        <v>0</v>
      </c>
      <c r="I1088" s="422"/>
      <c r="J1088" s="203" t="e">
        <f t="shared" si="110"/>
        <v>#DIV/0!</v>
      </c>
      <c r="K1088" s="433" t="e">
        <f t="shared" si="111"/>
        <v>#DIV/0!</v>
      </c>
    </row>
    <row r="1089" spans="1:11" ht="15.75" hidden="1">
      <c r="A1089" s="87" t="s">
        <v>1786</v>
      </c>
      <c r="B1089" s="82" t="s">
        <v>892</v>
      </c>
      <c r="C1089" s="85" t="s">
        <v>1795</v>
      </c>
      <c r="D1089" s="85" t="s">
        <v>1598</v>
      </c>
      <c r="E1089" s="85" t="s">
        <v>531</v>
      </c>
      <c r="F1089" s="85" t="s">
        <v>1880</v>
      </c>
      <c r="G1089" s="90"/>
      <c r="H1089" s="90"/>
      <c r="I1089" s="422"/>
      <c r="J1089" s="203" t="e">
        <f t="shared" si="110"/>
        <v>#DIV/0!</v>
      </c>
      <c r="K1089" s="433" t="e">
        <f t="shared" si="111"/>
        <v>#DIV/0!</v>
      </c>
    </row>
    <row r="1090" spans="1:11" ht="108.75" hidden="1">
      <c r="A1090" s="283" t="s">
        <v>1717</v>
      </c>
      <c r="B1090" s="82" t="s">
        <v>892</v>
      </c>
      <c r="C1090" s="85" t="s">
        <v>1795</v>
      </c>
      <c r="D1090" s="85" t="s">
        <v>1598</v>
      </c>
      <c r="E1090" s="85" t="s">
        <v>532</v>
      </c>
      <c r="F1090" s="85"/>
      <c r="G1090" s="90">
        <f>G1091</f>
        <v>0</v>
      </c>
      <c r="H1090" s="90">
        <f>H1091</f>
        <v>0</v>
      </c>
      <c r="I1090" s="422"/>
      <c r="J1090" s="203" t="e">
        <f t="shared" si="110"/>
        <v>#DIV/0!</v>
      </c>
      <c r="K1090" s="433" t="e">
        <f t="shared" si="111"/>
        <v>#DIV/0!</v>
      </c>
    </row>
    <row r="1091" spans="1:11" ht="15.75" hidden="1">
      <c r="A1091" s="92" t="s">
        <v>938</v>
      </c>
      <c r="B1091" s="82" t="s">
        <v>892</v>
      </c>
      <c r="C1091" s="85" t="s">
        <v>1795</v>
      </c>
      <c r="D1091" s="85" t="s">
        <v>1598</v>
      </c>
      <c r="E1091" s="85" t="s">
        <v>532</v>
      </c>
      <c r="F1091" s="85" t="s">
        <v>1879</v>
      </c>
      <c r="G1091" s="90"/>
      <c r="H1091" s="90"/>
      <c r="I1091" s="422"/>
      <c r="J1091" s="203" t="e">
        <f t="shared" si="110"/>
        <v>#DIV/0!</v>
      </c>
      <c r="K1091" s="433" t="e">
        <f t="shared" si="111"/>
        <v>#DIV/0!</v>
      </c>
    </row>
    <row r="1092" spans="1:11" ht="24">
      <c r="A1092" s="92" t="s">
        <v>1718</v>
      </c>
      <c r="B1092" s="82" t="s">
        <v>892</v>
      </c>
      <c r="C1092" s="85" t="s">
        <v>1795</v>
      </c>
      <c r="D1092" s="85" t="s">
        <v>1598</v>
      </c>
      <c r="E1092" s="85" t="s">
        <v>1650</v>
      </c>
      <c r="F1092" s="85" t="s">
        <v>1719</v>
      </c>
      <c r="G1092" s="90"/>
      <c r="H1092" s="90">
        <v>1169</v>
      </c>
      <c r="I1092" s="422">
        <v>303.7</v>
      </c>
      <c r="J1092" s="203"/>
      <c r="K1092" s="433">
        <f t="shared" si="111"/>
        <v>25.979469632164243</v>
      </c>
    </row>
    <row r="1093" spans="1:11" ht="48" hidden="1">
      <c r="A1093" s="92" t="s">
        <v>1720</v>
      </c>
      <c r="B1093" s="82" t="s">
        <v>892</v>
      </c>
      <c r="C1093" s="85" t="s">
        <v>1795</v>
      </c>
      <c r="D1093" s="85" t="s">
        <v>1598</v>
      </c>
      <c r="E1093" s="85" t="s">
        <v>532</v>
      </c>
      <c r="F1093" s="85"/>
      <c r="G1093" s="90">
        <f>G1094</f>
        <v>0</v>
      </c>
      <c r="H1093" s="90">
        <f>H1094</f>
        <v>0</v>
      </c>
      <c r="I1093" s="422">
        <f>I1094</f>
        <v>0</v>
      </c>
      <c r="J1093" s="203"/>
      <c r="K1093" s="433" t="e">
        <f t="shared" si="111"/>
        <v>#DIV/0!</v>
      </c>
    </row>
    <row r="1094" spans="1:11" ht="15.75" hidden="1">
      <c r="A1094" s="92" t="s">
        <v>938</v>
      </c>
      <c r="B1094" s="82" t="s">
        <v>892</v>
      </c>
      <c r="C1094" s="85" t="s">
        <v>1795</v>
      </c>
      <c r="D1094" s="85" t="s">
        <v>1598</v>
      </c>
      <c r="E1094" s="85" t="s">
        <v>532</v>
      </c>
      <c r="F1094" s="85" t="s">
        <v>742</v>
      </c>
      <c r="G1094" s="90">
        <v>0</v>
      </c>
      <c r="H1094" s="90">
        <v>0</v>
      </c>
      <c r="I1094" s="422"/>
      <c r="J1094" s="203"/>
      <c r="K1094" s="433" t="e">
        <f t="shared" si="111"/>
        <v>#DIV/0!</v>
      </c>
    </row>
    <row r="1095" spans="1:11" ht="48">
      <c r="A1095" s="92" t="s">
        <v>1721</v>
      </c>
      <c r="B1095" s="82" t="s">
        <v>892</v>
      </c>
      <c r="C1095" s="85" t="s">
        <v>1795</v>
      </c>
      <c r="D1095" s="85" t="s">
        <v>1598</v>
      </c>
      <c r="E1095" s="85" t="s">
        <v>532</v>
      </c>
      <c r="F1095" s="85" t="s">
        <v>1071</v>
      </c>
      <c r="G1095" s="90">
        <f>G1096</f>
        <v>0</v>
      </c>
      <c r="H1095" s="90">
        <f>H1096</f>
        <v>1674</v>
      </c>
      <c r="I1095" s="422">
        <f>I1096</f>
        <v>0</v>
      </c>
      <c r="J1095" s="203"/>
      <c r="K1095" s="433">
        <f t="shared" si="111"/>
        <v>0</v>
      </c>
    </row>
    <row r="1096" spans="1:11" ht="24">
      <c r="A1096" s="92" t="s">
        <v>938</v>
      </c>
      <c r="B1096" s="82" t="s">
        <v>892</v>
      </c>
      <c r="C1096" s="85" t="s">
        <v>1795</v>
      </c>
      <c r="D1096" s="85" t="s">
        <v>1598</v>
      </c>
      <c r="E1096" s="85" t="s">
        <v>532</v>
      </c>
      <c r="F1096" s="85" t="s">
        <v>742</v>
      </c>
      <c r="G1096" s="90"/>
      <c r="H1096" s="90">
        <v>1674</v>
      </c>
      <c r="I1096" s="422"/>
      <c r="J1096" s="203"/>
      <c r="K1096" s="433">
        <f t="shared" si="111"/>
        <v>0</v>
      </c>
    </row>
    <row r="1097" spans="1:11" ht="48">
      <c r="A1097" s="92" t="s">
        <v>1104</v>
      </c>
      <c r="B1097" s="82" t="s">
        <v>892</v>
      </c>
      <c r="C1097" s="85" t="s">
        <v>1795</v>
      </c>
      <c r="D1097" s="85" t="s">
        <v>1598</v>
      </c>
      <c r="E1097" s="85" t="s">
        <v>533</v>
      </c>
      <c r="F1097" s="85" t="s">
        <v>1071</v>
      </c>
      <c r="G1097" s="90">
        <f>G1098</f>
        <v>0</v>
      </c>
      <c r="H1097" s="90">
        <f>H1098</f>
        <v>2319.3</v>
      </c>
      <c r="I1097" s="422">
        <f>I1098</f>
        <v>0</v>
      </c>
      <c r="J1097" s="203"/>
      <c r="K1097" s="433">
        <f t="shared" si="111"/>
        <v>0</v>
      </c>
    </row>
    <row r="1098" spans="1:11" ht="24">
      <c r="A1098" s="92" t="s">
        <v>938</v>
      </c>
      <c r="B1098" s="82" t="s">
        <v>892</v>
      </c>
      <c r="C1098" s="85" t="s">
        <v>1795</v>
      </c>
      <c r="D1098" s="85" t="s">
        <v>1598</v>
      </c>
      <c r="E1098" s="85" t="s">
        <v>533</v>
      </c>
      <c r="F1098" s="85" t="s">
        <v>742</v>
      </c>
      <c r="G1098" s="90"/>
      <c r="H1098" s="90">
        <v>2319.3</v>
      </c>
      <c r="I1098" s="422"/>
      <c r="J1098" s="203"/>
      <c r="K1098" s="433">
        <f t="shared" si="111"/>
        <v>0</v>
      </c>
    </row>
    <row r="1099" spans="1:11" ht="48" hidden="1">
      <c r="A1099" s="92" t="s">
        <v>534</v>
      </c>
      <c r="B1099" s="82" t="s">
        <v>892</v>
      </c>
      <c r="C1099" s="85" t="s">
        <v>1795</v>
      </c>
      <c r="D1099" s="85" t="s">
        <v>1598</v>
      </c>
      <c r="E1099" s="85" t="s">
        <v>535</v>
      </c>
      <c r="F1099" s="85" t="s">
        <v>1071</v>
      </c>
      <c r="G1099" s="90">
        <f>G1100</f>
        <v>0</v>
      </c>
      <c r="H1099" s="90">
        <f>H1100</f>
        <v>0</v>
      </c>
      <c r="I1099" s="422">
        <f>I1100</f>
        <v>0</v>
      </c>
      <c r="J1099" s="203" t="e">
        <f t="shared" si="110"/>
        <v>#DIV/0!</v>
      </c>
      <c r="K1099" s="433" t="e">
        <f t="shared" si="111"/>
        <v>#DIV/0!</v>
      </c>
    </row>
    <row r="1100" spans="1:11" ht="15.75" hidden="1">
      <c r="A1100" s="92" t="s">
        <v>938</v>
      </c>
      <c r="B1100" s="82" t="s">
        <v>892</v>
      </c>
      <c r="C1100" s="85" t="s">
        <v>1795</v>
      </c>
      <c r="D1100" s="85" t="s">
        <v>1598</v>
      </c>
      <c r="E1100" s="85" t="s">
        <v>535</v>
      </c>
      <c r="F1100" s="85" t="s">
        <v>1879</v>
      </c>
      <c r="G1100" s="90">
        <v>0</v>
      </c>
      <c r="H1100" s="90">
        <v>0</v>
      </c>
      <c r="I1100" s="422"/>
      <c r="J1100" s="203" t="e">
        <f t="shared" si="110"/>
        <v>#DIV/0!</v>
      </c>
      <c r="K1100" s="433" t="e">
        <f t="shared" si="111"/>
        <v>#DIV/0!</v>
      </c>
    </row>
    <row r="1101" spans="1:11" ht="24">
      <c r="A1101" s="87" t="s">
        <v>762</v>
      </c>
      <c r="B1101" s="82" t="s">
        <v>892</v>
      </c>
      <c r="C1101" s="85" t="s">
        <v>1795</v>
      </c>
      <c r="D1101" s="85" t="s">
        <v>1598</v>
      </c>
      <c r="E1101" s="85" t="s">
        <v>536</v>
      </c>
      <c r="F1101" s="85" t="s">
        <v>1071</v>
      </c>
      <c r="G1101" s="90">
        <f>G1102+G1103+G1104+G1106</f>
        <v>37993</v>
      </c>
      <c r="H1101" s="90">
        <f>H1103+H1104+H1106</f>
        <v>42535.5</v>
      </c>
      <c r="I1101" s="422">
        <f>I1103+I1104+I1106</f>
        <v>39671.399999999994</v>
      </c>
      <c r="J1101" s="203">
        <f t="shared" si="110"/>
        <v>104.41765588397863</v>
      </c>
      <c r="K1101" s="433">
        <f t="shared" si="111"/>
        <v>93.26656557463764</v>
      </c>
    </row>
    <row r="1102" spans="1:11" ht="24">
      <c r="A1102" s="87" t="s">
        <v>1786</v>
      </c>
      <c r="B1102" s="82" t="s">
        <v>892</v>
      </c>
      <c r="C1102" s="85" t="s">
        <v>1795</v>
      </c>
      <c r="D1102" s="85" t="s">
        <v>1598</v>
      </c>
      <c r="E1102" s="85" t="s">
        <v>536</v>
      </c>
      <c r="F1102" s="85" t="s">
        <v>1880</v>
      </c>
      <c r="G1102" s="90">
        <v>28330</v>
      </c>
      <c r="H1102" s="90"/>
      <c r="I1102" s="422"/>
      <c r="J1102" s="203">
        <f t="shared" si="110"/>
        <v>0</v>
      </c>
      <c r="K1102" s="433"/>
    </row>
    <row r="1103" spans="1:11" ht="24">
      <c r="A1103" s="87" t="s">
        <v>1105</v>
      </c>
      <c r="B1103" s="82" t="s">
        <v>892</v>
      </c>
      <c r="C1103" s="85" t="s">
        <v>1795</v>
      </c>
      <c r="D1103" s="85" t="s">
        <v>1598</v>
      </c>
      <c r="E1103" s="85" t="s">
        <v>536</v>
      </c>
      <c r="F1103" s="85" t="s">
        <v>1106</v>
      </c>
      <c r="G1103" s="90"/>
      <c r="H1103" s="90">
        <f>28330+3694+2200</f>
        <v>34224</v>
      </c>
      <c r="I1103" s="422">
        <v>31448.6</v>
      </c>
      <c r="J1103" s="203"/>
      <c r="K1103" s="433">
        <f t="shared" si="111"/>
        <v>91.89048620850865</v>
      </c>
    </row>
    <row r="1104" spans="1:11" ht="60">
      <c r="A1104" s="87" t="s">
        <v>615</v>
      </c>
      <c r="B1104" s="82" t="s">
        <v>892</v>
      </c>
      <c r="C1104" s="85" t="s">
        <v>1795</v>
      </c>
      <c r="D1104" s="85" t="s">
        <v>1598</v>
      </c>
      <c r="E1104" s="85" t="s">
        <v>1651</v>
      </c>
      <c r="F1104" s="85" t="s">
        <v>1071</v>
      </c>
      <c r="G1104" s="90">
        <f>G1105+G1112</f>
        <v>9663</v>
      </c>
      <c r="H1104" s="90">
        <f>H1105+H1112</f>
        <v>8311.5</v>
      </c>
      <c r="I1104" s="422">
        <f>I1105+I1112</f>
        <v>8222.8</v>
      </c>
      <c r="J1104" s="203">
        <f t="shared" si="110"/>
        <v>85.0957259650212</v>
      </c>
      <c r="K1104" s="433">
        <f t="shared" si="111"/>
        <v>98.9328039463394</v>
      </c>
    </row>
    <row r="1105" spans="1:11" ht="24">
      <c r="A1105" s="87" t="s">
        <v>1786</v>
      </c>
      <c r="B1105" s="82" t="s">
        <v>892</v>
      </c>
      <c r="C1105" s="85" t="s">
        <v>1795</v>
      </c>
      <c r="D1105" s="85" t="s">
        <v>1598</v>
      </c>
      <c r="E1105" s="85" t="s">
        <v>1651</v>
      </c>
      <c r="F1105" s="85" t="s">
        <v>1880</v>
      </c>
      <c r="G1105" s="90">
        <v>9663</v>
      </c>
      <c r="H1105" s="90">
        <v>0</v>
      </c>
      <c r="I1105" s="422"/>
      <c r="J1105" s="203">
        <f t="shared" si="110"/>
        <v>0</v>
      </c>
      <c r="K1105" s="433"/>
    </row>
    <row r="1106" spans="1:11" ht="24" hidden="1">
      <c r="A1106" s="87" t="s">
        <v>616</v>
      </c>
      <c r="B1106" s="82" t="s">
        <v>892</v>
      </c>
      <c r="C1106" s="85" t="s">
        <v>1795</v>
      </c>
      <c r="D1106" s="85" t="s">
        <v>1598</v>
      </c>
      <c r="E1106" s="85" t="s">
        <v>1608</v>
      </c>
      <c r="F1106" s="85" t="s">
        <v>1071</v>
      </c>
      <c r="G1106" s="90">
        <f>G1107</f>
        <v>0</v>
      </c>
      <c r="H1106" s="90">
        <f>H1107</f>
        <v>0</v>
      </c>
      <c r="I1106" s="422"/>
      <c r="J1106" s="203" t="e">
        <f t="shared" si="110"/>
        <v>#DIV/0!</v>
      </c>
      <c r="K1106" s="433" t="e">
        <f t="shared" si="111"/>
        <v>#DIV/0!</v>
      </c>
    </row>
    <row r="1107" spans="1:11" ht="15.75" hidden="1">
      <c r="A1107" s="87" t="s">
        <v>1786</v>
      </c>
      <c r="B1107" s="82" t="s">
        <v>892</v>
      </c>
      <c r="C1107" s="85" t="s">
        <v>1795</v>
      </c>
      <c r="D1107" s="85" t="s">
        <v>1598</v>
      </c>
      <c r="E1107" s="85" t="s">
        <v>1608</v>
      </c>
      <c r="F1107" s="85" t="s">
        <v>1880</v>
      </c>
      <c r="G1107" s="90">
        <v>0</v>
      </c>
      <c r="H1107" s="90">
        <v>0</v>
      </c>
      <c r="I1107" s="422"/>
      <c r="J1107" s="203" t="e">
        <f t="shared" si="110"/>
        <v>#DIV/0!</v>
      </c>
      <c r="K1107" s="433" t="e">
        <f t="shared" si="111"/>
        <v>#DIV/0!</v>
      </c>
    </row>
    <row r="1108" spans="1:11" ht="60" hidden="1">
      <c r="A1108" s="87" t="s">
        <v>0</v>
      </c>
      <c r="B1108" s="82" t="s">
        <v>892</v>
      </c>
      <c r="C1108" s="85" t="s">
        <v>1795</v>
      </c>
      <c r="D1108" s="85" t="s">
        <v>1598</v>
      </c>
      <c r="E1108" s="85" t="s">
        <v>1</v>
      </c>
      <c r="F1108" s="85"/>
      <c r="G1108" s="90">
        <f>G1109</f>
        <v>0</v>
      </c>
      <c r="H1108" s="90">
        <f>H1109</f>
        <v>0</v>
      </c>
      <c r="I1108" s="422"/>
      <c r="J1108" s="203" t="e">
        <f t="shared" si="110"/>
        <v>#DIV/0!</v>
      </c>
      <c r="K1108" s="433" t="e">
        <f t="shared" si="111"/>
        <v>#DIV/0!</v>
      </c>
    </row>
    <row r="1109" spans="1:11" ht="15.75" hidden="1">
      <c r="A1109" s="87" t="s">
        <v>1786</v>
      </c>
      <c r="B1109" s="82" t="s">
        <v>892</v>
      </c>
      <c r="C1109" s="85" t="s">
        <v>1795</v>
      </c>
      <c r="D1109" s="85" t="s">
        <v>1598</v>
      </c>
      <c r="E1109" s="85" t="s">
        <v>1</v>
      </c>
      <c r="F1109" s="85" t="s">
        <v>1880</v>
      </c>
      <c r="G1109" s="90">
        <v>0</v>
      </c>
      <c r="H1109" s="90">
        <v>0</v>
      </c>
      <c r="I1109" s="422"/>
      <c r="J1109" s="203" t="e">
        <f t="shared" si="110"/>
        <v>#DIV/0!</v>
      </c>
      <c r="K1109" s="433" t="e">
        <f t="shared" si="111"/>
        <v>#DIV/0!</v>
      </c>
    </row>
    <row r="1110" spans="1:11" ht="24" hidden="1">
      <c r="A1110" s="87" t="s">
        <v>2</v>
      </c>
      <c r="B1110" s="82" t="s">
        <v>892</v>
      </c>
      <c r="C1110" s="85" t="s">
        <v>1795</v>
      </c>
      <c r="D1110" s="85" t="s">
        <v>1598</v>
      </c>
      <c r="E1110" s="85" t="s">
        <v>3</v>
      </c>
      <c r="F1110" s="85"/>
      <c r="G1110" s="90">
        <f>G1111</f>
        <v>0</v>
      </c>
      <c r="H1110" s="90">
        <f>H1111</f>
        <v>0</v>
      </c>
      <c r="I1110" s="422"/>
      <c r="J1110" s="203" t="e">
        <f t="shared" si="110"/>
        <v>#DIV/0!</v>
      </c>
      <c r="K1110" s="433" t="e">
        <f t="shared" si="111"/>
        <v>#DIV/0!</v>
      </c>
    </row>
    <row r="1111" spans="1:11" ht="15.75" hidden="1">
      <c r="A1111" s="87" t="s">
        <v>1786</v>
      </c>
      <c r="B1111" s="82" t="s">
        <v>892</v>
      </c>
      <c r="C1111" s="85" t="s">
        <v>1795</v>
      </c>
      <c r="D1111" s="85" t="s">
        <v>1598</v>
      </c>
      <c r="E1111" s="85" t="s">
        <v>3</v>
      </c>
      <c r="F1111" s="85" t="s">
        <v>1880</v>
      </c>
      <c r="G1111" s="90">
        <v>0</v>
      </c>
      <c r="H1111" s="90">
        <v>0</v>
      </c>
      <c r="I1111" s="422"/>
      <c r="J1111" s="203" t="e">
        <f t="shared" si="110"/>
        <v>#DIV/0!</v>
      </c>
      <c r="K1111" s="433" t="e">
        <f t="shared" si="111"/>
        <v>#DIV/0!</v>
      </c>
    </row>
    <row r="1112" spans="1:11" ht="24">
      <c r="A1112" s="92" t="s">
        <v>1718</v>
      </c>
      <c r="B1112" s="82" t="s">
        <v>892</v>
      </c>
      <c r="C1112" s="85" t="s">
        <v>1795</v>
      </c>
      <c r="D1112" s="85" t="s">
        <v>1598</v>
      </c>
      <c r="E1112" s="85" t="s">
        <v>1651</v>
      </c>
      <c r="F1112" s="85" t="s">
        <v>1719</v>
      </c>
      <c r="G1112" s="90"/>
      <c r="H1112" s="90">
        <v>8311.5</v>
      </c>
      <c r="I1112" s="422">
        <v>8222.8</v>
      </c>
      <c r="J1112" s="203"/>
      <c r="K1112" s="433">
        <f t="shared" si="111"/>
        <v>98.9328039463394</v>
      </c>
    </row>
    <row r="1113" spans="1:11" ht="24">
      <c r="A1113" s="87" t="s">
        <v>4</v>
      </c>
      <c r="B1113" s="82" t="s">
        <v>892</v>
      </c>
      <c r="C1113" s="85" t="s">
        <v>1795</v>
      </c>
      <c r="D1113" s="85" t="s">
        <v>1598</v>
      </c>
      <c r="E1113" s="85" t="s">
        <v>5</v>
      </c>
      <c r="F1113" s="85" t="s">
        <v>1071</v>
      </c>
      <c r="G1113" s="90">
        <f>G1114+G1115</f>
        <v>1729</v>
      </c>
      <c r="H1113" s="90">
        <f>H1114+H1115</f>
        <v>1729</v>
      </c>
      <c r="I1113" s="422">
        <f>I1114+I1115</f>
        <v>1400.3</v>
      </c>
      <c r="J1113" s="203">
        <f t="shared" si="110"/>
        <v>80.98901098901099</v>
      </c>
      <c r="K1113" s="433">
        <f t="shared" si="111"/>
        <v>80.98901098901099</v>
      </c>
    </row>
    <row r="1114" spans="1:11" ht="24">
      <c r="A1114" s="87" t="s">
        <v>1786</v>
      </c>
      <c r="B1114" s="82" t="s">
        <v>892</v>
      </c>
      <c r="C1114" s="85" t="s">
        <v>1795</v>
      </c>
      <c r="D1114" s="85" t="s">
        <v>1598</v>
      </c>
      <c r="E1114" s="85" t="s">
        <v>5</v>
      </c>
      <c r="F1114" s="85" t="s">
        <v>1880</v>
      </c>
      <c r="G1114" s="90">
        <v>1729</v>
      </c>
      <c r="H1114" s="90">
        <v>0</v>
      </c>
      <c r="I1114" s="422">
        <v>0</v>
      </c>
      <c r="J1114" s="203">
        <f t="shared" si="110"/>
        <v>0</v>
      </c>
      <c r="K1114" s="433"/>
    </row>
    <row r="1115" spans="1:11" ht="24">
      <c r="A1115" s="92" t="s">
        <v>1718</v>
      </c>
      <c r="B1115" s="82" t="s">
        <v>892</v>
      </c>
      <c r="C1115" s="85" t="s">
        <v>1795</v>
      </c>
      <c r="D1115" s="85" t="s">
        <v>1598</v>
      </c>
      <c r="E1115" s="85" t="s">
        <v>5</v>
      </c>
      <c r="F1115" s="85" t="s">
        <v>1719</v>
      </c>
      <c r="G1115" s="90"/>
      <c r="H1115" s="90">
        <v>1729</v>
      </c>
      <c r="I1115" s="422">
        <v>1400.3</v>
      </c>
      <c r="J1115" s="203"/>
      <c r="K1115" s="433">
        <f t="shared" si="111"/>
        <v>80.98901098901099</v>
      </c>
    </row>
    <row r="1116" spans="1:11" ht="84">
      <c r="A1116" s="87" t="s">
        <v>1107</v>
      </c>
      <c r="B1116" s="82" t="s">
        <v>892</v>
      </c>
      <c r="C1116" s="85" t="s">
        <v>1795</v>
      </c>
      <c r="D1116" s="85" t="s">
        <v>1598</v>
      </c>
      <c r="E1116" s="85" t="s">
        <v>6</v>
      </c>
      <c r="F1116" s="85" t="s">
        <v>1071</v>
      </c>
      <c r="G1116" s="90">
        <f>G1117+G1118</f>
        <v>2425</v>
      </c>
      <c r="H1116" s="90">
        <f>H1118</f>
        <v>640.0999999999999</v>
      </c>
      <c r="I1116" s="422">
        <f>I1118</f>
        <v>0</v>
      </c>
      <c r="J1116" s="203">
        <f t="shared" si="110"/>
        <v>0</v>
      </c>
      <c r="K1116" s="433">
        <f t="shared" si="111"/>
        <v>0</v>
      </c>
    </row>
    <row r="1117" spans="1:11" ht="24">
      <c r="A1117" s="87" t="s">
        <v>1786</v>
      </c>
      <c r="B1117" s="82" t="s">
        <v>892</v>
      </c>
      <c r="C1117" s="85" t="s">
        <v>1795</v>
      </c>
      <c r="D1117" s="85" t="s">
        <v>1598</v>
      </c>
      <c r="E1117" s="85" t="s">
        <v>6</v>
      </c>
      <c r="F1117" s="85" t="s">
        <v>1880</v>
      </c>
      <c r="G1117" s="90">
        <v>2425</v>
      </c>
      <c r="H1117" s="90"/>
      <c r="I1117" s="422"/>
      <c r="J1117" s="203">
        <f t="shared" si="110"/>
        <v>0</v>
      </c>
      <c r="K1117" s="433"/>
    </row>
    <row r="1118" spans="1:11" ht="24">
      <c r="A1118" s="92" t="s">
        <v>1718</v>
      </c>
      <c r="B1118" s="82" t="s">
        <v>892</v>
      </c>
      <c r="C1118" s="85" t="s">
        <v>1795</v>
      </c>
      <c r="D1118" s="85" t="s">
        <v>1598</v>
      </c>
      <c r="E1118" s="85" t="s">
        <v>6</v>
      </c>
      <c r="F1118" s="85" t="s">
        <v>1719</v>
      </c>
      <c r="G1118" s="90"/>
      <c r="H1118" s="90">
        <f>2425-1784.9</f>
        <v>640.0999999999999</v>
      </c>
      <c r="I1118" s="422"/>
      <c r="J1118" s="203"/>
      <c r="K1118" s="433">
        <f t="shared" si="111"/>
        <v>0</v>
      </c>
    </row>
    <row r="1119" spans="1:11" ht="36">
      <c r="A1119" s="87" t="s">
        <v>7</v>
      </c>
      <c r="B1119" s="82" t="s">
        <v>892</v>
      </c>
      <c r="C1119" s="85" t="s">
        <v>1795</v>
      </c>
      <c r="D1119" s="85" t="s">
        <v>1598</v>
      </c>
      <c r="E1119" s="85" t="s">
        <v>8</v>
      </c>
      <c r="F1119" s="85" t="s">
        <v>1071</v>
      </c>
      <c r="G1119" s="90">
        <f>G1120+G1121</f>
        <v>420</v>
      </c>
      <c r="H1119" s="90">
        <f>H1121</f>
        <v>420</v>
      </c>
      <c r="I1119" s="422">
        <v>370</v>
      </c>
      <c r="J1119" s="203">
        <f t="shared" si="110"/>
        <v>88.09523809523809</v>
      </c>
      <c r="K1119" s="433">
        <f t="shared" si="111"/>
        <v>88.09523809523809</v>
      </c>
    </row>
    <row r="1120" spans="1:11" ht="24">
      <c r="A1120" s="87" t="s">
        <v>1786</v>
      </c>
      <c r="B1120" s="82" t="s">
        <v>892</v>
      </c>
      <c r="C1120" s="85" t="s">
        <v>1795</v>
      </c>
      <c r="D1120" s="85" t="s">
        <v>1598</v>
      </c>
      <c r="E1120" s="85" t="s">
        <v>8</v>
      </c>
      <c r="F1120" s="85" t="s">
        <v>1880</v>
      </c>
      <c r="G1120" s="90">
        <v>420</v>
      </c>
      <c r="H1120" s="90"/>
      <c r="I1120" s="422"/>
      <c r="J1120" s="203">
        <f t="shared" si="110"/>
        <v>0</v>
      </c>
      <c r="K1120" s="433"/>
    </row>
    <row r="1121" spans="1:11" ht="24">
      <c r="A1121" s="92" t="s">
        <v>1718</v>
      </c>
      <c r="B1121" s="82" t="s">
        <v>892</v>
      </c>
      <c r="C1121" s="85" t="s">
        <v>1795</v>
      </c>
      <c r="D1121" s="85" t="s">
        <v>1598</v>
      </c>
      <c r="E1121" s="85" t="s">
        <v>8</v>
      </c>
      <c r="F1121" s="85" t="s">
        <v>1719</v>
      </c>
      <c r="G1121" s="90"/>
      <c r="H1121" s="90">
        <v>420</v>
      </c>
      <c r="I1121" s="422"/>
      <c r="J1121" s="203"/>
      <c r="K1121" s="433">
        <f t="shared" si="111"/>
        <v>0</v>
      </c>
    </row>
    <row r="1122" spans="1:11" ht="24">
      <c r="A1122" s="87" t="s">
        <v>9</v>
      </c>
      <c r="B1122" s="82" t="s">
        <v>892</v>
      </c>
      <c r="C1122" s="85" t="s">
        <v>1795</v>
      </c>
      <c r="D1122" s="85" t="s">
        <v>1598</v>
      </c>
      <c r="E1122" s="85" t="s">
        <v>10</v>
      </c>
      <c r="F1122" s="85" t="s">
        <v>1071</v>
      </c>
      <c r="G1122" s="90">
        <f>G1123+G1124</f>
        <v>359.3</v>
      </c>
      <c r="H1122" s="90">
        <f>H1123+H1124</f>
        <v>359.3</v>
      </c>
      <c r="I1122" s="422">
        <f>I1123+I1124</f>
        <v>287</v>
      </c>
      <c r="J1122" s="203">
        <f t="shared" si="110"/>
        <v>79.87753966045086</v>
      </c>
      <c r="K1122" s="433">
        <f t="shared" si="111"/>
        <v>79.87753966045086</v>
      </c>
    </row>
    <row r="1123" spans="1:11" ht="24">
      <c r="A1123" s="87" t="s">
        <v>1786</v>
      </c>
      <c r="B1123" s="82" t="s">
        <v>892</v>
      </c>
      <c r="C1123" s="85" t="s">
        <v>1795</v>
      </c>
      <c r="D1123" s="85" t="s">
        <v>1598</v>
      </c>
      <c r="E1123" s="85" t="s">
        <v>10</v>
      </c>
      <c r="F1123" s="85" t="s">
        <v>1880</v>
      </c>
      <c r="G1123" s="90">
        <v>359.3</v>
      </c>
      <c r="H1123" s="90">
        <v>0</v>
      </c>
      <c r="I1123" s="422">
        <v>0</v>
      </c>
      <c r="J1123" s="203">
        <f t="shared" si="110"/>
        <v>0</v>
      </c>
      <c r="K1123" s="433"/>
    </row>
    <row r="1124" spans="1:11" ht="24">
      <c r="A1124" s="92" t="s">
        <v>1718</v>
      </c>
      <c r="B1124" s="82" t="s">
        <v>892</v>
      </c>
      <c r="C1124" s="85" t="s">
        <v>1795</v>
      </c>
      <c r="D1124" s="85" t="s">
        <v>1598</v>
      </c>
      <c r="E1124" s="85" t="s">
        <v>10</v>
      </c>
      <c r="F1124" s="85" t="s">
        <v>1719</v>
      </c>
      <c r="G1124" s="90"/>
      <c r="H1124" s="90">
        <v>359.3</v>
      </c>
      <c r="I1124" s="422">
        <v>287</v>
      </c>
      <c r="J1124" s="203"/>
      <c r="K1124" s="433">
        <f t="shared" si="111"/>
        <v>79.87753966045086</v>
      </c>
    </row>
    <row r="1125" spans="1:11" ht="24">
      <c r="A1125" s="87" t="s">
        <v>11</v>
      </c>
      <c r="B1125" s="82" t="s">
        <v>892</v>
      </c>
      <c r="C1125" s="85" t="s">
        <v>1795</v>
      </c>
      <c r="D1125" s="85" t="s">
        <v>1598</v>
      </c>
      <c r="E1125" s="85" t="s">
        <v>12</v>
      </c>
      <c r="F1125" s="85" t="s">
        <v>1071</v>
      </c>
      <c r="G1125" s="90">
        <f>G1126+G1127</f>
        <v>204.2</v>
      </c>
      <c r="H1125" s="90">
        <f>H1126+H1127</f>
        <v>204.2</v>
      </c>
      <c r="I1125" s="422">
        <f>I1126+I1127</f>
        <v>176.6</v>
      </c>
      <c r="J1125" s="203">
        <f t="shared" si="110"/>
        <v>86.48383937316356</v>
      </c>
      <c r="K1125" s="433">
        <f t="shared" si="111"/>
        <v>86.48383937316356</v>
      </c>
    </row>
    <row r="1126" spans="1:11" ht="24">
      <c r="A1126" s="87" t="s">
        <v>1786</v>
      </c>
      <c r="B1126" s="82" t="s">
        <v>892</v>
      </c>
      <c r="C1126" s="85" t="s">
        <v>1795</v>
      </c>
      <c r="D1126" s="85" t="s">
        <v>1598</v>
      </c>
      <c r="E1126" s="85" t="s">
        <v>12</v>
      </c>
      <c r="F1126" s="85" t="s">
        <v>1880</v>
      </c>
      <c r="G1126" s="90">
        <v>204.2</v>
      </c>
      <c r="H1126" s="90">
        <v>0</v>
      </c>
      <c r="I1126" s="422">
        <v>0</v>
      </c>
      <c r="J1126" s="203">
        <f t="shared" si="110"/>
        <v>0</v>
      </c>
      <c r="K1126" s="433"/>
    </row>
    <row r="1127" spans="1:11" ht="24">
      <c r="A1127" s="92" t="s">
        <v>1718</v>
      </c>
      <c r="B1127" s="82" t="s">
        <v>892</v>
      </c>
      <c r="C1127" s="85" t="s">
        <v>1795</v>
      </c>
      <c r="D1127" s="85" t="s">
        <v>1598</v>
      </c>
      <c r="E1127" s="85" t="s">
        <v>12</v>
      </c>
      <c r="F1127" s="85" t="s">
        <v>1719</v>
      </c>
      <c r="G1127" s="90"/>
      <c r="H1127" s="90">
        <v>204.2</v>
      </c>
      <c r="I1127" s="422">
        <v>176.6</v>
      </c>
      <c r="J1127" s="203"/>
      <c r="K1127" s="433">
        <f t="shared" si="111"/>
        <v>86.48383937316356</v>
      </c>
    </row>
    <row r="1128" spans="1:11" ht="24">
      <c r="A1128" s="87" t="s">
        <v>889</v>
      </c>
      <c r="B1128" s="82" t="s">
        <v>892</v>
      </c>
      <c r="C1128" s="85" t="s">
        <v>1795</v>
      </c>
      <c r="D1128" s="85" t="s">
        <v>1598</v>
      </c>
      <c r="E1128" s="85" t="s">
        <v>890</v>
      </c>
      <c r="F1128" s="85" t="s">
        <v>1071</v>
      </c>
      <c r="G1128" s="90">
        <f>G1129+G1130</f>
        <v>360.8</v>
      </c>
      <c r="H1128" s="90">
        <f>H1129+H1130</f>
        <v>360.8</v>
      </c>
      <c r="I1128" s="422">
        <f>I1129+I1130</f>
        <v>285.5</v>
      </c>
      <c r="J1128" s="203">
        <f t="shared" si="110"/>
        <v>79.12971175166297</v>
      </c>
      <c r="K1128" s="433">
        <f t="shared" si="111"/>
        <v>79.12971175166297</v>
      </c>
    </row>
    <row r="1129" spans="1:11" ht="24">
      <c r="A1129" s="87" t="s">
        <v>1786</v>
      </c>
      <c r="B1129" s="82" t="s">
        <v>892</v>
      </c>
      <c r="C1129" s="85" t="s">
        <v>1795</v>
      </c>
      <c r="D1129" s="85" t="s">
        <v>1598</v>
      </c>
      <c r="E1129" s="85" t="s">
        <v>890</v>
      </c>
      <c r="F1129" s="85" t="s">
        <v>1880</v>
      </c>
      <c r="G1129" s="90">
        <v>360.8</v>
      </c>
      <c r="H1129" s="90">
        <v>0</v>
      </c>
      <c r="I1129" s="422">
        <v>0</v>
      </c>
      <c r="J1129" s="203">
        <f t="shared" si="110"/>
        <v>0</v>
      </c>
      <c r="K1129" s="433"/>
    </row>
    <row r="1130" spans="1:11" ht="24">
      <c r="A1130" s="92" t="s">
        <v>1718</v>
      </c>
      <c r="B1130" s="82" t="s">
        <v>892</v>
      </c>
      <c r="C1130" s="85" t="s">
        <v>1795</v>
      </c>
      <c r="D1130" s="85" t="s">
        <v>1598</v>
      </c>
      <c r="E1130" s="85" t="s">
        <v>890</v>
      </c>
      <c r="F1130" s="85" t="s">
        <v>1719</v>
      </c>
      <c r="G1130" s="90"/>
      <c r="H1130" s="90">
        <v>360.8</v>
      </c>
      <c r="I1130" s="422">
        <v>285.5</v>
      </c>
      <c r="J1130" s="203"/>
      <c r="K1130" s="433">
        <f t="shared" si="111"/>
        <v>79.12971175166297</v>
      </c>
    </row>
    <row r="1131" spans="1:11" ht="24">
      <c r="A1131" s="87" t="s">
        <v>788</v>
      </c>
      <c r="B1131" s="82" t="s">
        <v>892</v>
      </c>
      <c r="C1131" s="85" t="s">
        <v>1795</v>
      </c>
      <c r="D1131" s="85" t="s">
        <v>1598</v>
      </c>
      <c r="E1131" s="85" t="s">
        <v>789</v>
      </c>
      <c r="F1131" s="85" t="s">
        <v>1071</v>
      </c>
      <c r="G1131" s="90">
        <f>G1132+G1133</f>
        <v>46.1</v>
      </c>
      <c r="H1131" s="90">
        <f>H1132+H1133</f>
        <v>46.1</v>
      </c>
      <c r="I1131" s="422">
        <f>I1132+I1133</f>
        <v>35</v>
      </c>
      <c r="J1131" s="203">
        <f t="shared" si="110"/>
        <v>75.92190889370933</v>
      </c>
      <c r="K1131" s="433">
        <f t="shared" si="111"/>
        <v>75.92190889370933</v>
      </c>
    </row>
    <row r="1132" spans="1:11" ht="24">
      <c r="A1132" s="87" t="s">
        <v>1786</v>
      </c>
      <c r="B1132" s="82" t="s">
        <v>892</v>
      </c>
      <c r="C1132" s="85" t="s">
        <v>1795</v>
      </c>
      <c r="D1132" s="85" t="s">
        <v>1598</v>
      </c>
      <c r="E1132" s="85" t="s">
        <v>789</v>
      </c>
      <c r="F1132" s="85" t="s">
        <v>1880</v>
      </c>
      <c r="G1132" s="90">
        <v>46.1</v>
      </c>
      <c r="H1132" s="90">
        <v>0</v>
      </c>
      <c r="I1132" s="422">
        <v>0</v>
      </c>
      <c r="J1132" s="203">
        <f t="shared" si="110"/>
        <v>0</v>
      </c>
      <c r="K1132" s="433"/>
    </row>
    <row r="1133" spans="1:11" ht="24">
      <c r="A1133" s="92" t="s">
        <v>1718</v>
      </c>
      <c r="B1133" s="82" t="s">
        <v>892</v>
      </c>
      <c r="C1133" s="85" t="s">
        <v>1795</v>
      </c>
      <c r="D1133" s="85" t="s">
        <v>1598</v>
      </c>
      <c r="E1133" s="85" t="s">
        <v>789</v>
      </c>
      <c r="F1133" s="85" t="s">
        <v>1719</v>
      </c>
      <c r="G1133" s="90"/>
      <c r="H1133" s="90">
        <v>46.1</v>
      </c>
      <c r="I1133" s="422">
        <v>35</v>
      </c>
      <c r="J1133" s="203"/>
      <c r="K1133" s="433">
        <f t="shared" si="111"/>
        <v>75.92190889370933</v>
      </c>
    </row>
    <row r="1134" spans="1:11" ht="24">
      <c r="A1134" s="87" t="s">
        <v>790</v>
      </c>
      <c r="B1134" s="82" t="s">
        <v>892</v>
      </c>
      <c r="C1134" s="85" t="s">
        <v>1795</v>
      </c>
      <c r="D1134" s="85" t="s">
        <v>1598</v>
      </c>
      <c r="E1134" s="85" t="s">
        <v>791</v>
      </c>
      <c r="F1134" s="85" t="s">
        <v>1071</v>
      </c>
      <c r="G1134" s="90">
        <f>G1135+G1136</f>
        <v>47.6</v>
      </c>
      <c r="H1134" s="90">
        <f>H1135+H1136</f>
        <v>47.6</v>
      </c>
      <c r="I1134" s="422">
        <f>I1135+I1136</f>
        <v>23</v>
      </c>
      <c r="J1134" s="203">
        <f t="shared" si="110"/>
        <v>48.319327731092436</v>
      </c>
      <c r="K1134" s="433">
        <f t="shared" si="111"/>
        <v>48.319327731092436</v>
      </c>
    </row>
    <row r="1135" spans="1:11" ht="24">
      <c r="A1135" s="87" t="s">
        <v>1786</v>
      </c>
      <c r="B1135" s="82" t="s">
        <v>892</v>
      </c>
      <c r="C1135" s="85" t="s">
        <v>1795</v>
      </c>
      <c r="D1135" s="85" t="s">
        <v>1598</v>
      </c>
      <c r="E1135" s="85" t="s">
        <v>791</v>
      </c>
      <c r="F1135" s="85" t="s">
        <v>1880</v>
      </c>
      <c r="G1135" s="90">
        <v>47.6</v>
      </c>
      <c r="H1135" s="90">
        <v>0</v>
      </c>
      <c r="I1135" s="422">
        <v>0</v>
      </c>
      <c r="J1135" s="203">
        <f t="shared" si="110"/>
        <v>0</v>
      </c>
      <c r="K1135" s="433"/>
    </row>
    <row r="1136" spans="1:11" ht="24">
      <c r="A1136" s="92" t="s">
        <v>1718</v>
      </c>
      <c r="B1136" s="82" t="s">
        <v>892</v>
      </c>
      <c r="C1136" s="85" t="s">
        <v>1795</v>
      </c>
      <c r="D1136" s="85" t="s">
        <v>1598</v>
      </c>
      <c r="E1136" s="85" t="s">
        <v>791</v>
      </c>
      <c r="F1136" s="85" t="s">
        <v>1719</v>
      </c>
      <c r="G1136" s="90"/>
      <c r="H1136" s="90">
        <v>47.6</v>
      </c>
      <c r="I1136" s="422">
        <v>23</v>
      </c>
      <c r="J1136" s="203"/>
      <c r="K1136" s="433">
        <f t="shared" si="111"/>
        <v>48.319327731092436</v>
      </c>
    </row>
    <row r="1137" spans="1:11" ht="24">
      <c r="A1137" s="87" t="s">
        <v>792</v>
      </c>
      <c r="B1137" s="82" t="s">
        <v>892</v>
      </c>
      <c r="C1137" s="85" t="s">
        <v>1795</v>
      </c>
      <c r="D1137" s="85" t="s">
        <v>1598</v>
      </c>
      <c r="E1137" s="85" t="s">
        <v>793</v>
      </c>
      <c r="F1137" s="85" t="s">
        <v>1071</v>
      </c>
      <c r="G1137" s="90">
        <f>G1138+G1139</f>
        <v>39.9</v>
      </c>
      <c r="H1137" s="90">
        <f>H1138+H1139</f>
        <v>39.9</v>
      </c>
      <c r="I1137" s="422">
        <f>I1138+I1139</f>
        <v>35.3</v>
      </c>
      <c r="J1137" s="203">
        <f t="shared" si="110"/>
        <v>88.47117794486216</v>
      </c>
      <c r="K1137" s="433">
        <f t="shared" si="111"/>
        <v>88.47117794486216</v>
      </c>
    </row>
    <row r="1138" spans="1:11" ht="24">
      <c r="A1138" s="87" t="s">
        <v>1786</v>
      </c>
      <c r="B1138" s="82" t="s">
        <v>892</v>
      </c>
      <c r="C1138" s="85" t="s">
        <v>1795</v>
      </c>
      <c r="D1138" s="85" t="s">
        <v>1598</v>
      </c>
      <c r="E1138" s="85" t="s">
        <v>793</v>
      </c>
      <c r="F1138" s="85" t="s">
        <v>1880</v>
      </c>
      <c r="G1138" s="90">
        <v>39.9</v>
      </c>
      <c r="H1138" s="90">
        <v>0</v>
      </c>
      <c r="I1138" s="422">
        <v>0</v>
      </c>
      <c r="J1138" s="203">
        <f t="shared" si="110"/>
        <v>0</v>
      </c>
      <c r="K1138" s="433"/>
    </row>
    <row r="1139" spans="1:11" ht="24">
      <c r="A1139" s="92" t="s">
        <v>1718</v>
      </c>
      <c r="B1139" s="82" t="s">
        <v>892</v>
      </c>
      <c r="C1139" s="85" t="s">
        <v>1795</v>
      </c>
      <c r="D1139" s="85" t="s">
        <v>1598</v>
      </c>
      <c r="E1139" s="85" t="s">
        <v>793</v>
      </c>
      <c r="F1139" s="85" t="s">
        <v>1719</v>
      </c>
      <c r="G1139" s="90"/>
      <c r="H1139" s="90">
        <v>39.9</v>
      </c>
      <c r="I1139" s="422">
        <v>35.3</v>
      </c>
      <c r="J1139" s="203"/>
      <c r="K1139" s="433">
        <f t="shared" si="111"/>
        <v>88.47117794486216</v>
      </c>
    </row>
    <row r="1140" spans="1:11" ht="24">
      <c r="A1140" s="87" t="s">
        <v>794</v>
      </c>
      <c r="B1140" s="82" t="s">
        <v>892</v>
      </c>
      <c r="C1140" s="85" t="s">
        <v>1795</v>
      </c>
      <c r="D1140" s="85" t="s">
        <v>1598</v>
      </c>
      <c r="E1140" s="85" t="s">
        <v>795</v>
      </c>
      <c r="F1140" s="85" t="s">
        <v>1071</v>
      </c>
      <c r="G1140" s="90">
        <f>G1141+G1142</f>
        <v>24.6</v>
      </c>
      <c r="H1140" s="90">
        <f>H1141+H1142</f>
        <v>24.6</v>
      </c>
      <c r="I1140" s="422">
        <f>I1141+I1142</f>
        <v>13.7</v>
      </c>
      <c r="J1140" s="203">
        <f t="shared" si="110"/>
        <v>55.6910569105691</v>
      </c>
      <c r="K1140" s="433">
        <f t="shared" si="111"/>
        <v>55.6910569105691</v>
      </c>
    </row>
    <row r="1141" spans="1:11" ht="24">
      <c r="A1141" s="87" t="s">
        <v>1786</v>
      </c>
      <c r="B1141" s="82" t="s">
        <v>892</v>
      </c>
      <c r="C1141" s="85" t="s">
        <v>1795</v>
      </c>
      <c r="D1141" s="85" t="s">
        <v>1598</v>
      </c>
      <c r="E1141" s="85" t="s">
        <v>795</v>
      </c>
      <c r="F1141" s="85" t="s">
        <v>1880</v>
      </c>
      <c r="G1141" s="90">
        <v>24.6</v>
      </c>
      <c r="H1141" s="90">
        <v>0</v>
      </c>
      <c r="I1141" s="422">
        <v>0</v>
      </c>
      <c r="J1141" s="203">
        <f t="shared" si="110"/>
        <v>0</v>
      </c>
      <c r="K1141" s="433"/>
    </row>
    <row r="1142" spans="1:11" ht="24">
      <c r="A1142" s="92" t="s">
        <v>1718</v>
      </c>
      <c r="B1142" s="82" t="s">
        <v>892</v>
      </c>
      <c r="C1142" s="85" t="s">
        <v>1795</v>
      </c>
      <c r="D1142" s="85" t="s">
        <v>1598</v>
      </c>
      <c r="E1142" s="85" t="s">
        <v>795</v>
      </c>
      <c r="F1142" s="85" t="s">
        <v>1719</v>
      </c>
      <c r="G1142" s="90"/>
      <c r="H1142" s="90">
        <v>24.6</v>
      </c>
      <c r="I1142" s="422">
        <v>13.7</v>
      </c>
      <c r="J1142" s="203"/>
      <c r="K1142" s="433">
        <f t="shared" si="111"/>
        <v>55.6910569105691</v>
      </c>
    </row>
    <row r="1143" spans="1:11" ht="24">
      <c r="A1143" s="87" t="s">
        <v>796</v>
      </c>
      <c r="B1143" s="82" t="s">
        <v>892</v>
      </c>
      <c r="C1143" s="85" t="s">
        <v>1795</v>
      </c>
      <c r="D1143" s="85" t="s">
        <v>1598</v>
      </c>
      <c r="E1143" s="85" t="s">
        <v>429</v>
      </c>
      <c r="F1143" s="85" t="s">
        <v>1071</v>
      </c>
      <c r="G1143" s="90">
        <f>G1144+G1145</f>
        <v>2060.5</v>
      </c>
      <c r="H1143" s="90">
        <f>H1144+H1145</f>
        <v>2060.5</v>
      </c>
      <c r="I1143" s="422">
        <f>I1144+I1145</f>
        <v>1939.4</v>
      </c>
      <c r="J1143" s="203">
        <f t="shared" si="110"/>
        <v>94.12278573161854</v>
      </c>
      <c r="K1143" s="433">
        <f t="shared" si="111"/>
        <v>94.12278573161854</v>
      </c>
    </row>
    <row r="1144" spans="1:11" ht="15.75" hidden="1">
      <c r="A1144" s="87" t="s">
        <v>1786</v>
      </c>
      <c r="B1144" s="82" t="s">
        <v>892</v>
      </c>
      <c r="C1144" s="85" t="s">
        <v>1795</v>
      </c>
      <c r="D1144" s="85" t="s">
        <v>1598</v>
      </c>
      <c r="E1144" s="85" t="s">
        <v>429</v>
      </c>
      <c r="F1144" s="85" t="s">
        <v>1880</v>
      </c>
      <c r="G1144" s="90">
        <v>0</v>
      </c>
      <c r="H1144" s="90">
        <v>0</v>
      </c>
      <c r="I1144" s="422">
        <v>0</v>
      </c>
      <c r="J1144" s="203" t="e">
        <f t="shared" si="110"/>
        <v>#DIV/0!</v>
      </c>
      <c r="K1144" s="433" t="e">
        <f t="shared" si="111"/>
        <v>#DIV/0!</v>
      </c>
    </row>
    <row r="1145" spans="1:11" ht="24">
      <c r="A1145" s="92" t="s">
        <v>1718</v>
      </c>
      <c r="B1145" s="82" t="s">
        <v>892</v>
      </c>
      <c r="C1145" s="85" t="s">
        <v>1795</v>
      </c>
      <c r="D1145" s="85" t="s">
        <v>1598</v>
      </c>
      <c r="E1145" s="85" t="s">
        <v>429</v>
      </c>
      <c r="F1145" s="85" t="s">
        <v>1719</v>
      </c>
      <c r="G1145" s="90">
        <v>2060.5</v>
      </c>
      <c r="H1145" s="90">
        <v>2060.5</v>
      </c>
      <c r="I1145" s="422">
        <v>1939.4</v>
      </c>
      <c r="J1145" s="203">
        <f t="shared" si="110"/>
        <v>94.12278573161854</v>
      </c>
      <c r="K1145" s="433">
        <f t="shared" si="111"/>
        <v>94.12278573161854</v>
      </c>
    </row>
    <row r="1146" spans="1:11" ht="36">
      <c r="A1146" s="87" t="s">
        <v>1108</v>
      </c>
      <c r="B1146" s="82" t="s">
        <v>892</v>
      </c>
      <c r="C1146" s="85" t="s">
        <v>1795</v>
      </c>
      <c r="D1146" s="85" t="s">
        <v>1598</v>
      </c>
      <c r="E1146" s="85" t="s">
        <v>978</v>
      </c>
      <c r="F1146" s="85" t="s">
        <v>1071</v>
      </c>
      <c r="G1146" s="90">
        <f>G1147+G1148</f>
        <v>30.7</v>
      </c>
      <c r="H1146" s="90">
        <f>H1147+H1148</f>
        <v>33.8</v>
      </c>
      <c r="I1146" s="422">
        <f>I1147+I1148</f>
        <v>27.6</v>
      </c>
      <c r="J1146" s="203">
        <f t="shared" si="110"/>
        <v>89.90228013029316</v>
      </c>
      <c r="K1146" s="433">
        <f t="shared" si="111"/>
        <v>81.65680473372781</v>
      </c>
    </row>
    <row r="1147" spans="1:11" ht="24">
      <c r="A1147" s="87" t="s">
        <v>1786</v>
      </c>
      <c r="B1147" s="82" t="s">
        <v>892</v>
      </c>
      <c r="C1147" s="85" t="s">
        <v>1795</v>
      </c>
      <c r="D1147" s="85" t="s">
        <v>1598</v>
      </c>
      <c r="E1147" s="85" t="s">
        <v>978</v>
      </c>
      <c r="F1147" s="85" t="s">
        <v>1880</v>
      </c>
      <c r="G1147" s="90">
        <v>30.7</v>
      </c>
      <c r="H1147" s="90">
        <v>0</v>
      </c>
      <c r="I1147" s="422">
        <v>0</v>
      </c>
      <c r="J1147" s="203">
        <f t="shared" si="110"/>
        <v>0</v>
      </c>
      <c r="K1147" s="433"/>
    </row>
    <row r="1148" spans="1:11" ht="24">
      <c r="A1148" s="92" t="s">
        <v>1718</v>
      </c>
      <c r="B1148" s="82" t="s">
        <v>892</v>
      </c>
      <c r="C1148" s="85" t="s">
        <v>1795</v>
      </c>
      <c r="D1148" s="85" t="s">
        <v>1598</v>
      </c>
      <c r="E1148" s="85" t="s">
        <v>978</v>
      </c>
      <c r="F1148" s="85" t="s">
        <v>1719</v>
      </c>
      <c r="G1148" s="90"/>
      <c r="H1148" s="90">
        <v>33.8</v>
      </c>
      <c r="I1148" s="422">
        <v>27.6</v>
      </c>
      <c r="J1148" s="203"/>
      <c r="K1148" s="433">
        <f aca="true" t="shared" si="112" ref="K1148:K1210">I1148/H1148*100</f>
        <v>81.65680473372781</v>
      </c>
    </row>
    <row r="1149" spans="1:11" ht="24">
      <c r="A1149" s="87" t="s">
        <v>979</v>
      </c>
      <c r="B1149" s="82" t="s">
        <v>892</v>
      </c>
      <c r="C1149" s="85" t="s">
        <v>1795</v>
      </c>
      <c r="D1149" s="85" t="s">
        <v>1598</v>
      </c>
      <c r="E1149" s="85" t="s">
        <v>980</v>
      </c>
      <c r="F1149" s="85" t="s">
        <v>1071</v>
      </c>
      <c r="G1149" s="90">
        <f>G1150+G1151</f>
        <v>3000</v>
      </c>
      <c r="H1149" s="90">
        <f>H1151</f>
        <v>0</v>
      </c>
      <c r="I1149" s="422">
        <f>I1151</f>
        <v>0</v>
      </c>
      <c r="J1149" s="203">
        <f aca="true" t="shared" si="113" ref="J1149:J1211">I1149/G1149*100</f>
        <v>0</v>
      </c>
      <c r="K1149" s="433"/>
    </row>
    <row r="1150" spans="1:11" ht="24">
      <c r="A1150" s="87" t="s">
        <v>1786</v>
      </c>
      <c r="B1150" s="82" t="s">
        <v>892</v>
      </c>
      <c r="C1150" s="85" t="s">
        <v>1795</v>
      </c>
      <c r="D1150" s="85" t="s">
        <v>1598</v>
      </c>
      <c r="E1150" s="85" t="s">
        <v>980</v>
      </c>
      <c r="F1150" s="85" t="s">
        <v>1880</v>
      </c>
      <c r="G1150" s="90">
        <v>3000</v>
      </c>
      <c r="H1150" s="90"/>
      <c r="I1150" s="422"/>
      <c r="J1150" s="203">
        <f t="shared" si="113"/>
        <v>0</v>
      </c>
      <c r="K1150" s="433"/>
    </row>
    <row r="1151" spans="1:11" ht="15.75" hidden="1">
      <c r="A1151" s="92" t="s">
        <v>1718</v>
      </c>
      <c r="B1151" s="82" t="s">
        <v>892</v>
      </c>
      <c r="C1151" s="85" t="s">
        <v>1795</v>
      </c>
      <c r="D1151" s="85" t="s">
        <v>1598</v>
      </c>
      <c r="E1151" s="85" t="s">
        <v>980</v>
      </c>
      <c r="F1151" s="85" t="s">
        <v>1719</v>
      </c>
      <c r="G1151" s="90">
        <f>3000-3000</f>
        <v>0</v>
      </c>
      <c r="H1151" s="90">
        <f>3000-3000</f>
        <v>0</v>
      </c>
      <c r="I1151" s="422">
        <f>3000-3000</f>
        <v>0</v>
      </c>
      <c r="J1151" s="203" t="e">
        <f t="shared" si="113"/>
        <v>#DIV/0!</v>
      </c>
      <c r="K1151" s="433" t="e">
        <f t="shared" si="112"/>
        <v>#DIV/0!</v>
      </c>
    </row>
    <row r="1152" spans="1:11" ht="24">
      <c r="A1152" s="87" t="s">
        <v>981</v>
      </c>
      <c r="B1152" s="82" t="s">
        <v>892</v>
      </c>
      <c r="C1152" s="85" t="s">
        <v>1795</v>
      </c>
      <c r="D1152" s="85" t="s">
        <v>1598</v>
      </c>
      <c r="E1152" s="85" t="s">
        <v>430</v>
      </c>
      <c r="F1152" s="85" t="s">
        <v>1071</v>
      </c>
      <c r="G1152" s="90">
        <f>G1153+G1154</f>
        <v>300.5</v>
      </c>
      <c r="H1152" s="90">
        <v>197.5</v>
      </c>
      <c r="I1152" s="422">
        <f>I1154</f>
        <v>103.5</v>
      </c>
      <c r="J1152" s="203">
        <f t="shared" si="113"/>
        <v>34.44259567387687</v>
      </c>
      <c r="K1152" s="433">
        <f t="shared" si="112"/>
        <v>52.40506329113924</v>
      </c>
    </row>
    <row r="1153" spans="1:11" ht="24">
      <c r="A1153" s="87" t="s">
        <v>1786</v>
      </c>
      <c r="B1153" s="82" t="s">
        <v>892</v>
      </c>
      <c r="C1153" s="85" t="s">
        <v>1795</v>
      </c>
      <c r="D1153" s="85" t="s">
        <v>1598</v>
      </c>
      <c r="E1153" s="85" t="s">
        <v>430</v>
      </c>
      <c r="F1153" s="85" t="s">
        <v>1880</v>
      </c>
      <c r="G1153" s="90">
        <v>300.5</v>
      </c>
      <c r="H1153" s="90"/>
      <c r="I1153" s="422"/>
      <c r="J1153" s="203">
        <f t="shared" si="113"/>
        <v>0</v>
      </c>
      <c r="K1153" s="433"/>
    </row>
    <row r="1154" spans="1:11" ht="24">
      <c r="A1154" s="92" t="s">
        <v>1718</v>
      </c>
      <c r="B1154" s="82" t="s">
        <v>892</v>
      </c>
      <c r="C1154" s="85" t="s">
        <v>1795</v>
      </c>
      <c r="D1154" s="85" t="s">
        <v>1598</v>
      </c>
      <c r="E1154" s="85" t="s">
        <v>430</v>
      </c>
      <c r="F1154" s="85" t="s">
        <v>1719</v>
      </c>
      <c r="G1154" s="90"/>
      <c r="H1154" s="90">
        <v>194.5</v>
      </c>
      <c r="I1154" s="422">
        <v>103.5</v>
      </c>
      <c r="J1154" s="203"/>
      <c r="K1154" s="433">
        <f t="shared" si="112"/>
        <v>53.213367609254504</v>
      </c>
    </row>
    <row r="1155" spans="1:11" ht="24">
      <c r="A1155" s="87" t="s">
        <v>982</v>
      </c>
      <c r="B1155" s="82" t="s">
        <v>892</v>
      </c>
      <c r="C1155" s="85" t="s">
        <v>1795</v>
      </c>
      <c r="D1155" s="85" t="s">
        <v>1598</v>
      </c>
      <c r="E1155" s="85" t="s">
        <v>431</v>
      </c>
      <c r="F1155" s="85" t="s">
        <v>1071</v>
      </c>
      <c r="G1155" s="90">
        <f>G1156+G1157</f>
        <v>1000</v>
      </c>
      <c r="H1155" s="90">
        <f>H1156+H1157</f>
        <v>5779.5</v>
      </c>
      <c r="I1155" s="422">
        <f>I1156+I1157</f>
        <v>5761.6</v>
      </c>
      <c r="J1155" s="421" t="s">
        <v>1212</v>
      </c>
      <c r="K1155" s="433">
        <f t="shared" si="112"/>
        <v>99.69028462669782</v>
      </c>
    </row>
    <row r="1156" spans="1:11" ht="24">
      <c r="A1156" s="87" t="s">
        <v>1786</v>
      </c>
      <c r="B1156" s="82" t="s">
        <v>892</v>
      </c>
      <c r="C1156" s="85" t="s">
        <v>1795</v>
      </c>
      <c r="D1156" s="85" t="s">
        <v>1598</v>
      </c>
      <c r="E1156" s="85" t="s">
        <v>431</v>
      </c>
      <c r="F1156" s="85" t="s">
        <v>1880</v>
      </c>
      <c r="G1156" s="90">
        <v>1000</v>
      </c>
      <c r="H1156" s="90">
        <v>0</v>
      </c>
      <c r="I1156" s="422"/>
      <c r="J1156" s="203">
        <f t="shared" si="113"/>
        <v>0</v>
      </c>
      <c r="K1156" s="433"/>
    </row>
    <row r="1157" spans="1:11" ht="24">
      <c r="A1157" s="92" t="s">
        <v>1718</v>
      </c>
      <c r="B1157" s="82" t="s">
        <v>892</v>
      </c>
      <c r="C1157" s="85" t="s">
        <v>1795</v>
      </c>
      <c r="D1157" s="85" t="s">
        <v>1598</v>
      </c>
      <c r="E1157" s="85" t="s">
        <v>431</v>
      </c>
      <c r="F1157" s="85" t="s">
        <v>1719</v>
      </c>
      <c r="G1157" s="90"/>
      <c r="H1157" s="90">
        <v>5779.5</v>
      </c>
      <c r="I1157" s="422">
        <v>5761.6</v>
      </c>
      <c r="J1157" s="203"/>
      <c r="K1157" s="433">
        <f t="shared" si="112"/>
        <v>99.69028462669782</v>
      </c>
    </row>
    <row r="1158" spans="1:11" ht="24">
      <c r="A1158" s="87" t="s">
        <v>1786</v>
      </c>
      <c r="B1158" s="82" t="s">
        <v>892</v>
      </c>
      <c r="C1158" s="85" t="s">
        <v>1795</v>
      </c>
      <c r="D1158" s="85" t="s">
        <v>1598</v>
      </c>
      <c r="E1158" s="85" t="s">
        <v>453</v>
      </c>
      <c r="F1158" s="85" t="s">
        <v>1071</v>
      </c>
      <c r="G1158" s="90">
        <f>G1159</f>
        <v>300</v>
      </c>
      <c r="H1158" s="90">
        <f>H1160</f>
        <v>0</v>
      </c>
      <c r="I1158" s="422">
        <f>I1160</f>
        <v>0</v>
      </c>
      <c r="J1158" s="203">
        <f t="shared" si="113"/>
        <v>0</v>
      </c>
      <c r="K1158" s="433"/>
    </row>
    <row r="1159" spans="1:11" ht="24">
      <c r="A1159" s="87" t="s">
        <v>1786</v>
      </c>
      <c r="B1159" s="82" t="s">
        <v>892</v>
      </c>
      <c r="C1159" s="85" t="s">
        <v>1795</v>
      </c>
      <c r="D1159" s="85" t="s">
        <v>1598</v>
      </c>
      <c r="E1159" s="85" t="s">
        <v>453</v>
      </c>
      <c r="F1159" s="85" t="s">
        <v>1880</v>
      </c>
      <c r="G1159" s="90">
        <v>300</v>
      </c>
      <c r="H1159" s="90"/>
      <c r="I1159" s="422"/>
      <c r="J1159" s="203">
        <f t="shared" si="113"/>
        <v>0</v>
      </c>
      <c r="K1159" s="433"/>
    </row>
    <row r="1160" spans="1:11" ht="15.75" hidden="1">
      <c r="A1160" s="92" t="s">
        <v>1718</v>
      </c>
      <c r="B1160" s="82" t="s">
        <v>892</v>
      </c>
      <c r="C1160" s="85" t="s">
        <v>1795</v>
      </c>
      <c r="D1160" s="85" t="s">
        <v>1598</v>
      </c>
      <c r="E1160" s="85" t="s">
        <v>453</v>
      </c>
      <c r="F1160" s="85" t="s">
        <v>1719</v>
      </c>
      <c r="G1160" s="90">
        <f>300-300</f>
        <v>0</v>
      </c>
      <c r="H1160" s="90">
        <f>300-300</f>
        <v>0</v>
      </c>
      <c r="I1160" s="422">
        <f>300-300</f>
        <v>0</v>
      </c>
      <c r="J1160" s="203" t="e">
        <f t="shared" si="113"/>
        <v>#DIV/0!</v>
      </c>
      <c r="K1160" s="433" t="e">
        <f t="shared" si="112"/>
        <v>#DIV/0!</v>
      </c>
    </row>
    <row r="1161" spans="1:11" ht="24">
      <c r="A1161" s="87" t="s">
        <v>454</v>
      </c>
      <c r="B1161" s="82" t="s">
        <v>892</v>
      </c>
      <c r="C1161" s="85" t="s">
        <v>1795</v>
      </c>
      <c r="D1161" s="85" t="s">
        <v>1598</v>
      </c>
      <c r="E1161" s="85" t="s">
        <v>455</v>
      </c>
      <c r="F1161" s="85"/>
      <c r="G1161" s="90">
        <f>G1162</f>
        <v>0</v>
      </c>
      <c r="H1161" s="90">
        <f>H1162</f>
        <v>1544.3</v>
      </c>
      <c r="I1161" s="422">
        <f>I1162</f>
        <v>1283.6</v>
      </c>
      <c r="J1161" s="203"/>
      <c r="K1161" s="433">
        <f t="shared" si="112"/>
        <v>83.11856504565175</v>
      </c>
    </row>
    <row r="1162" spans="1:11" ht="24">
      <c r="A1162" s="92" t="s">
        <v>1718</v>
      </c>
      <c r="B1162" s="82" t="s">
        <v>892</v>
      </c>
      <c r="C1162" s="85" t="s">
        <v>1795</v>
      </c>
      <c r="D1162" s="85" t="s">
        <v>1598</v>
      </c>
      <c r="E1162" s="85" t="s">
        <v>455</v>
      </c>
      <c r="F1162" s="85" t="s">
        <v>1719</v>
      </c>
      <c r="G1162" s="90"/>
      <c r="H1162" s="90">
        <v>1544.3</v>
      </c>
      <c r="I1162" s="422">
        <v>1283.6</v>
      </c>
      <c r="J1162" s="203"/>
      <c r="K1162" s="433">
        <f t="shared" si="112"/>
        <v>83.11856504565175</v>
      </c>
    </row>
    <row r="1163" spans="1:11" ht="24">
      <c r="A1163" s="87" t="s">
        <v>456</v>
      </c>
      <c r="B1163" s="82" t="s">
        <v>892</v>
      </c>
      <c r="C1163" s="85" t="s">
        <v>1795</v>
      </c>
      <c r="D1163" s="85" t="s">
        <v>1598</v>
      </c>
      <c r="E1163" s="85" t="s">
        <v>457</v>
      </c>
      <c r="F1163" s="85" t="s">
        <v>1071</v>
      </c>
      <c r="G1163" s="90">
        <f>G1164+G1165</f>
        <v>3000</v>
      </c>
      <c r="H1163" s="90">
        <f>H1164+H1165</f>
        <v>4000</v>
      </c>
      <c r="I1163" s="422">
        <f>I1164+I1165</f>
        <v>3932</v>
      </c>
      <c r="J1163" s="203">
        <f t="shared" si="113"/>
        <v>131.06666666666666</v>
      </c>
      <c r="K1163" s="433">
        <f t="shared" si="112"/>
        <v>98.3</v>
      </c>
    </row>
    <row r="1164" spans="1:11" ht="24">
      <c r="A1164" s="87" t="s">
        <v>1786</v>
      </c>
      <c r="B1164" s="82" t="s">
        <v>892</v>
      </c>
      <c r="C1164" s="85" t="s">
        <v>1795</v>
      </c>
      <c r="D1164" s="85" t="s">
        <v>1598</v>
      </c>
      <c r="E1164" s="85" t="s">
        <v>457</v>
      </c>
      <c r="F1164" s="85" t="s">
        <v>1880</v>
      </c>
      <c r="G1164" s="90">
        <v>3000</v>
      </c>
      <c r="H1164" s="90">
        <v>0</v>
      </c>
      <c r="I1164" s="422"/>
      <c r="J1164" s="203">
        <f t="shared" si="113"/>
        <v>0</v>
      </c>
      <c r="K1164" s="433"/>
    </row>
    <row r="1165" spans="1:11" ht="24">
      <c r="A1165" s="92" t="s">
        <v>1718</v>
      </c>
      <c r="B1165" s="82" t="s">
        <v>892</v>
      </c>
      <c r="C1165" s="85" t="s">
        <v>1795</v>
      </c>
      <c r="D1165" s="85" t="s">
        <v>1598</v>
      </c>
      <c r="E1165" s="85" t="s">
        <v>457</v>
      </c>
      <c r="F1165" s="85" t="s">
        <v>1719</v>
      </c>
      <c r="G1165" s="90"/>
      <c r="H1165" s="90">
        <f>3000+1000</f>
        <v>4000</v>
      </c>
      <c r="I1165" s="422">
        <v>3932</v>
      </c>
      <c r="J1165" s="203"/>
      <c r="K1165" s="433">
        <f t="shared" si="112"/>
        <v>98.3</v>
      </c>
    </row>
    <row r="1166" spans="1:11" ht="24">
      <c r="A1166" s="87" t="s">
        <v>1109</v>
      </c>
      <c r="B1166" s="82" t="s">
        <v>892</v>
      </c>
      <c r="C1166" s="85" t="s">
        <v>1795</v>
      </c>
      <c r="D1166" s="85" t="s">
        <v>1598</v>
      </c>
      <c r="E1166" s="85" t="s">
        <v>442</v>
      </c>
      <c r="F1166" s="85" t="s">
        <v>1071</v>
      </c>
      <c r="G1166" s="90">
        <f>G1167+G1168</f>
        <v>376</v>
      </c>
      <c r="H1166" s="90">
        <f>H1168</f>
        <v>376</v>
      </c>
      <c r="I1166" s="422">
        <f>I1168</f>
        <v>0</v>
      </c>
      <c r="J1166" s="203">
        <f t="shared" si="113"/>
        <v>0</v>
      </c>
      <c r="K1166" s="433">
        <f t="shared" si="112"/>
        <v>0</v>
      </c>
    </row>
    <row r="1167" spans="1:11" ht="24">
      <c r="A1167" s="87" t="s">
        <v>1786</v>
      </c>
      <c r="B1167" s="82" t="s">
        <v>892</v>
      </c>
      <c r="C1167" s="85" t="s">
        <v>1795</v>
      </c>
      <c r="D1167" s="85" t="s">
        <v>1598</v>
      </c>
      <c r="E1167" s="85" t="s">
        <v>442</v>
      </c>
      <c r="F1167" s="85" t="s">
        <v>1880</v>
      </c>
      <c r="G1167" s="90">
        <v>376</v>
      </c>
      <c r="H1167" s="90"/>
      <c r="I1167" s="422"/>
      <c r="J1167" s="203">
        <f t="shared" si="113"/>
        <v>0</v>
      </c>
      <c r="K1167" s="433"/>
    </row>
    <row r="1168" spans="1:11" ht="24">
      <c r="A1168" s="92" t="s">
        <v>1718</v>
      </c>
      <c r="B1168" s="82" t="s">
        <v>892</v>
      </c>
      <c r="C1168" s="85" t="s">
        <v>1795</v>
      </c>
      <c r="D1168" s="85" t="s">
        <v>1598</v>
      </c>
      <c r="E1168" s="85" t="s">
        <v>442</v>
      </c>
      <c r="F1168" s="85" t="s">
        <v>1719</v>
      </c>
      <c r="G1168" s="90"/>
      <c r="H1168" s="90">
        <v>376</v>
      </c>
      <c r="I1168" s="422"/>
      <c r="J1168" s="203"/>
      <c r="K1168" s="433">
        <f t="shared" si="112"/>
        <v>0</v>
      </c>
    </row>
    <row r="1169" spans="1:11" ht="24">
      <c r="A1169" s="93" t="s">
        <v>458</v>
      </c>
      <c r="B1169" s="82" t="s">
        <v>892</v>
      </c>
      <c r="C1169" s="85" t="s">
        <v>1795</v>
      </c>
      <c r="D1169" s="85" t="s">
        <v>1598</v>
      </c>
      <c r="E1169" s="85" t="s">
        <v>460</v>
      </c>
      <c r="F1169" s="85"/>
      <c r="G1169" s="90">
        <f>G1170</f>
        <v>1053</v>
      </c>
      <c r="H1169" s="90">
        <f>H1170</f>
        <v>120</v>
      </c>
      <c r="I1169" s="422">
        <f>I1170</f>
        <v>119.9</v>
      </c>
      <c r="J1169" s="203">
        <f t="shared" si="113"/>
        <v>11.386514719848053</v>
      </c>
      <c r="K1169" s="433">
        <f t="shared" si="112"/>
        <v>99.91666666666667</v>
      </c>
    </row>
    <row r="1170" spans="1:11" ht="24">
      <c r="A1170" s="87" t="s">
        <v>1110</v>
      </c>
      <c r="B1170" s="82" t="s">
        <v>892</v>
      </c>
      <c r="C1170" s="85" t="s">
        <v>1795</v>
      </c>
      <c r="D1170" s="85" t="s">
        <v>1598</v>
      </c>
      <c r="E1170" s="85" t="s">
        <v>460</v>
      </c>
      <c r="F1170" s="85" t="s">
        <v>1071</v>
      </c>
      <c r="G1170" s="90">
        <f>G1171+G1172</f>
        <v>1053</v>
      </c>
      <c r="H1170" s="90">
        <f>H1172</f>
        <v>120</v>
      </c>
      <c r="I1170" s="422">
        <v>119.9</v>
      </c>
      <c r="J1170" s="203">
        <f t="shared" si="113"/>
        <v>11.386514719848053</v>
      </c>
      <c r="K1170" s="433">
        <f t="shared" si="112"/>
        <v>99.91666666666667</v>
      </c>
    </row>
    <row r="1171" spans="1:11" ht="24">
      <c r="A1171" s="87" t="s">
        <v>1786</v>
      </c>
      <c r="B1171" s="82" t="s">
        <v>892</v>
      </c>
      <c r="C1171" s="85" t="s">
        <v>1795</v>
      </c>
      <c r="D1171" s="85" t="s">
        <v>1598</v>
      </c>
      <c r="E1171" s="85" t="s">
        <v>460</v>
      </c>
      <c r="F1171" s="85" t="s">
        <v>1880</v>
      </c>
      <c r="G1171" s="90">
        <v>1053</v>
      </c>
      <c r="H1171" s="90"/>
      <c r="I1171" s="422"/>
      <c r="J1171" s="203">
        <f t="shared" si="113"/>
        <v>0</v>
      </c>
      <c r="K1171" s="433"/>
    </row>
    <row r="1172" spans="1:11" ht="24">
      <c r="A1172" s="87" t="s">
        <v>1729</v>
      </c>
      <c r="B1172" s="82" t="s">
        <v>892</v>
      </c>
      <c r="C1172" s="85" t="s">
        <v>1795</v>
      </c>
      <c r="D1172" s="85" t="s">
        <v>1598</v>
      </c>
      <c r="E1172" s="85" t="s">
        <v>460</v>
      </c>
      <c r="F1172" s="85" t="s">
        <v>1837</v>
      </c>
      <c r="G1172" s="90"/>
      <c r="H1172" s="90">
        <v>120</v>
      </c>
      <c r="I1172" s="422"/>
      <c r="J1172" s="203"/>
      <c r="K1172" s="433">
        <f t="shared" si="112"/>
        <v>0</v>
      </c>
    </row>
    <row r="1173" spans="1:11" ht="15.75" hidden="1">
      <c r="A1173" s="86" t="s">
        <v>761</v>
      </c>
      <c r="B1173" s="82" t="s">
        <v>892</v>
      </c>
      <c r="C1173" s="85" t="s">
        <v>1795</v>
      </c>
      <c r="D1173" s="85" t="s">
        <v>1598</v>
      </c>
      <c r="E1173" s="85" t="s">
        <v>1408</v>
      </c>
      <c r="F1173" s="85"/>
      <c r="G1173" s="90">
        <f>G1174</f>
        <v>0</v>
      </c>
      <c r="H1173" s="90">
        <f>H1174</f>
        <v>0</v>
      </c>
      <c r="I1173" s="422">
        <f>I1174</f>
        <v>0</v>
      </c>
      <c r="J1173" s="203"/>
      <c r="K1173" s="433" t="e">
        <f t="shared" si="112"/>
        <v>#DIV/0!</v>
      </c>
    </row>
    <row r="1174" spans="1:11" ht="24" hidden="1">
      <c r="A1174" s="87" t="s">
        <v>762</v>
      </c>
      <c r="B1174" s="82" t="s">
        <v>892</v>
      </c>
      <c r="C1174" s="85" t="s">
        <v>1795</v>
      </c>
      <c r="D1174" s="85" t="s">
        <v>1598</v>
      </c>
      <c r="E1174" s="85" t="s">
        <v>1408</v>
      </c>
      <c r="F1174" s="85" t="s">
        <v>763</v>
      </c>
      <c r="G1174" s="90"/>
      <c r="H1174" s="90"/>
      <c r="I1174" s="422"/>
      <c r="J1174" s="203"/>
      <c r="K1174" s="433" t="e">
        <f t="shared" si="112"/>
        <v>#DIV/0!</v>
      </c>
    </row>
    <row r="1175" spans="1:11" ht="15.75" hidden="1">
      <c r="A1175" s="87" t="s">
        <v>1280</v>
      </c>
      <c r="B1175" s="82" t="s">
        <v>892</v>
      </c>
      <c r="C1175" s="85" t="s">
        <v>1795</v>
      </c>
      <c r="D1175" s="85" t="s">
        <v>1598</v>
      </c>
      <c r="E1175" s="85" t="s">
        <v>460</v>
      </c>
      <c r="F1175" s="85" t="s">
        <v>1281</v>
      </c>
      <c r="G1175" s="90"/>
      <c r="H1175" s="90"/>
      <c r="I1175" s="422"/>
      <c r="J1175" s="203"/>
      <c r="K1175" s="433" t="e">
        <f t="shared" si="112"/>
        <v>#DIV/0!</v>
      </c>
    </row>
    <row r="1176" spans="1:11" ht="15.75" hidden="1">
      <c r="A1176" s="87" t="s">
        <v>764</v>
      </c>
      <c r="B1176" s="82" t="s">
        <v>892</v>
      </c>
      <c r="C1176" s="85" t="s">
        <v>1795</v>
      </c>
      <c r="D1176" s="85" t="s">
        <v>1598</v>
      </c>
      <c r="E1176" s="85" t="s">
        <v>463</v>
      </c>
      <c r="F1176" s="85" t="s">
        <v>1880</v>
      </c>
      <c r="G1176" s="90"/>
      <c r="H1176" s="90"/>
      <c r="I1176" s="422"/>
      <c r="J1176" s="203"/>
      <c r="K1176" s="433" t="e">
        <f t="shared" si="112"/>
        <v>#DIV/0!</v>
      </c>
    </row>
    <row r="1177" spans="1:11" ht="24">
      <c r="A1177" s="86" t="s">
        <v>854</v>
      </c>
      <c r="B1177" s="82" t="s">
        <v>892</v>
      </c>
      <c r="C1177" s="85" t="s">
        <v>1795</v>
      </c>
      <c r="D1177" s="85" t="s">
        <v>1598</v>
      </c>
      <c r="E1177" s="85" t="s">
        <v>855</v>
      </c>
      <c r="F1177" s="85" t="s">
        <v>1071</v>
      </c>
      <c r="G1177" s="90">
        <f>G1178+G1180</f>
        <v>0</v>
      </c>
      <c r="H1177" s="90">
        <f>H1178+H1180</f>
        <v>3641</v>
      </c>
      <c r="I1177" s="422">
        <f>I1178+I1180</f>
        <v>1596.1</v>
      </c>
      <c r="J1177" s="203"/>
      <c r="K1177" s="433">
        <f t="shared" si="112"/>
        <v>43.8368580060423</v>
      </c>
    </row>
    <row r="1178" spans="1:11" ht="36">
      <c r="A1178" s="92" t="s">
        <v>1463</v>
      </c>
      <c r="B1178" s="82" t="s">
        <v>892</v>
      </c>
      <c r="C1178" s="85" t="s">
        <v>1795</v>
      </c>
      <c r="D1178" s="85" t="s">
        <v>1598</v>
      </c>
      <c r="E1178" s="85" t="s">
        <v>857</v>
      </c>
      <c r="F1178" s="85" t="s">
        <v>1071</v>
      </c>
      <c r="G1178" s="84">
        <f>G1179</f>
        <v>0</v>
      </c>
      <c r="H1178" s="84">
        <f>H1179</f>
        <v>641.2</v>
      </c>
      <c r="I1178" s="426">
        <f>I1179</f>
        <v>641.2</v>
      </c>
      <c r="J1178" s="203"/>
      <c r="K1178" s="433">
        <f t="shared" si="112"/>
        <v>100</v>
      </c>
    </row>
    <row r="1179" spans="1:11" ht="36">
      <c r="A1179" s="87" t="s">
        <v>1427</v>
      </c>
      <c r="B1179" s="82" t="s">
        <v>892</v>
      </c>
      <c r="C1179" s="85" t="s">
        <v>1795</v>
      </c>
      <c r="D1179" s="85" t="s">
        <v>1598</v>
      </c>
      <c r="E1179" s="85" t="s">
        <v>857</v>
      </c>
      <c r="F1179" s="85" t="s">
        <v>326</v>
      </c>
      <c r="G1179" s="84"/>
      <c r="H1179" s="84">
        <v>641.2</v>
      </c>
      <c r="I1179" s="426">
        <v>641.2</v>
      </c>
      <c r="J1179" s="203"/>
      <c r="K1179" s="433">
        <f t="shared" si="112"/>
        <v>100</v>
      </c>
    </row>
    <row r="1180" spans="1:11" ht="24">
      <c r="A1180" s="87" t="s">
        <v>464</v>
      </c>
      <c r="B1180" s="82" t="s">
        <v>892</v>
      </c>
      <c r="C1180" s="85" t="s">
        <v>1795</v>
      </c>
      <c r="D1180" s="85" t="s">
        <v>1598</v>
      </c>
      <c r="E1180" s="85" t="s">
        <v>254</v>
      </c>
      <c r="F1180" s="85" t="s">
        <v>1071</v>
      </c>
      <c r="G1180" s="90">
        <f>G1181+G1182</f>
        <v>0</v>
      </c>
      <c r="H1180" s="90">
        <f>H1181+H1182</f>
        <v>2999.8</v>
      </c>
      <c r="I1180" s="422">
        <f>I1181+I1182</f>
        <v>954.9</v>
      </c>
      <c r="J1180" s="203"/>
      <c r="K1180" s="433">
        <f t="shared" si="112"/>
        <v>31.832122141476095</v>
      </c>
    </row>
    <row r="1181" spans="1:11" ht="24">
      <c r="A1181" s="92" t="s">
        <v>1431</v>
      </c>
      <c r="B1181" s="82" t="s">
        <v>892</v>
      </c>
      <c r="C1181" s="85" t="s">
        <v>1795</v>
      </c>
      <c r="D1181" s="85" t="s">
        <v>1598</v>
      </c>
      <c r="E1181" s="85" t="s">
        <v>254</v>
      </c>
      <c r="F1181" s="85" t="s">
        <v>1432</v>
      </c>
      <c r="G1181" s="90"/>
      <c r="H1181" s="90">
        <v>1558.5</v>
      </c>
      <c r="I1181" s="422"/>
      <c r="J1181" s="203"/>
      <c r="K1181" s="433">
        <f t="shared" si="112"/>
        <v>0</v>
      </c>
    </row>
    <row r="1182" spans="1:11" ht="24">
      <c r="A1182" s="87" t="s">
        <v>1433</v>
      </c>
      <c r="B1182" s="82" t="s">
        <v>892</v>
      </c>
      <c r="C1182" s="85" t="s">
        <v>1795</v>
      </c>
      <c r="D1182" s="85" t="s">
        <v>1598</v>
      </c>
      <c r="E1182" s="85" t="s">
        <v>254</v>
      </c>
      <c r="F1182" s="85" t="s">
        <v>1434</v>
      </c>
      <c r="G1182" s="90"/>
      <c r="H1182" s="90">
        <v>1441.3</v>
      </c>
      <c r="I1182" s="422">
        <v>954.9</v>
      </c>
      <c r="J1182" s="203"/>
      <c r="K1182" s="433">
        <f t="shared" si="112"/>
        <v>66.25268854506349</v>
      </c>
    </row>
    <row r="1183" spans="1:11" ht="15.75" hidden="1">
      <c r="A1183" s="106" t="s">
        <v>765</v>
      </c>
      <c r="B1183" s="82" t="s">
        <v>892</v>
      </c>
      <c r="C1183" s="85" t="s">
        <v>1083</v>
      </c>
      <c r="D1183" s="85"/>
      <c r="E1183" s="85"/>
      <c r="F1183" s="85"/>
      <c r="G1183" s="90">
        <f aca="true" t="shared" si="114" ref="G1183:I1186">G1184</f>
        <v>0</v>
      </c>
      <c r="H1183" s="90">
        <f t="shared" si="114"/>
        <v>0</v>
      </c>
      <c r="I1183" s="422">
        <f t="shared" si="114"/>
        <v>1</v>
      </c>
      <c r="J1183" s="203" t="e">
        <f t="shared" si="113"/>
        <v>#DIV/0!</v>
      </c>
      <c r="K1183" s="433" t="e">
        <f t="shared" si="112"/>
        <v>#DIV/0!</v>
      </c>
    </row>
    <row r="1184" spans="1:11" ht="15.75" hidden="1">
      <c r="A1184" s="86" t="s">
        <v>766</v>
      </c>
      <c r="B1184" s="82" t="s">
        <v>892</v>
      </c>
      <c r="C1184" s="85" t="s">
        <v>1083</v>
      </c>
      <c r="D1184" s="85" t="s">
        <v>1603</v>
      </c>
      <c r="E1184" s="85"/>
      <c r="F1184" s="85"/>
      <c r="G1184" s="90">
        <f t="shared" si="114"/>
        <v>0</v>
      </c>
      <c r="H1184" s="90">
        <f t="shared" si="114"/>
        <v>0</v>
      </c>
      <c r="I1184" s="422">
        <f t="shared" si="114"/>
        <v>1</v>
      </c>
      <c r="J1184" s="203" t="e">
        <f t="shared" si="113"/>
        <v>#DIV/0!</v>
      </c>
      <c r="K1184" s="433" t="e">
        <f t="shared" si="112"/>
        <v>#DIV/0!</v>
      </c>
    </row>
    <row r="1185" spans="1:11" ht="15.75" hidden="1">
      <c r="A1185" s="87" t="s">
        <v>848</v>
      </c>
      <c r="B1185" s="82" t="s">
        <v>892</v>
      </c>
      <c r="C1185" s="85" t="s">
        <v>1083</v>
      </c>
      <c r="D1185" s="85" t="s">
        <v>1603</v>
      </c>
      <c r="E1185" s="85" t="s">
        <v>849</v>
      </c>
      <c r="F1185" s="85" t="s">
        <v>1071</v>
      </c>
      <c r="G1185" s="90">
        <f t="shared" si="114"/>
        <v>0</v>
      </c>
      <c r="H1185" s="90">
        <f t="shared" si="114"/>
        <v>0</v>
      </c>
      <c r="I1185" s="422">
        <f t="shared" si="114"/>
        <v>1</v>
      </c>
      <c r="J1185" s="203" t="e">
        <f t="shared" si="113"/>
        <v>#DIV/0!</v>
      </c>
      <c r="K1185" s="433" t="e">
        <f t="shared" si="112"/>
        <v>#DIV/0!</v>
      </c>
    </row>
    <row r="1186" spans="1:11" ht="36" hidden="1">
      <c r="A1186" s="87" t="s">
        <v>1282</v>
      </c>
      <c r="B1186" s="82" t="s">
        <v>892</v>
      </c>
      <c r="C1186" s="85" t="s">
        <v>1083</v>
      </c>
      <c r="D1186" s="85" t="s">
        <v>1603</v>
      </c>
      <c r="E1186" s="85" t="s">
        <v>1283</v>
      </c>
      <c r="F1186" s="85"/>
      <c r="G1186" s="90">
        <f t="shared" si="114"/>
        <v>0</v>
      </c>
      <c r="H1186" s="90">
        <f t="shared" si="114"/>
        <v>0</v>
      </c>
      <c r="I1186" s="422">
        <f t="shared" si="114"/>
        <v>1</v>
      </c>
      <c r="J1186" s="203" t="e">
        <f t="shared" si="113"/>
        <v>#DIV/0!</v>
      </c>
      <c r="K1186" s="433" t="e">
        <f t="shared" si="112"/>
        <v>#DIV/0!</v>
      </c>
    </row>
    <row r="1187" spans="1:11" ht="15.75" hidden="1">
      <c r="A1187" s="87" t="s">
        <v>1662</v>
      </c>
      <c r="B1187" s="82" t="s">
        <v>892</v>
      </c>
      <c r="C1187" s="85" t="s">
        <v>1083</v>
      </c>
      <c r="D1187" s="85" t="s">
        <v>1603</v>
      </c>
      <c r="E1187" s="85" t="s">
        <v>1283</v>
      </c>
      <c r="F1187" s="85" t="s">
        <v>892</v>
      </c>
      <c r="G1187" s="90">
        <v>0</v>
      </c>
      <c r="H1187" s="90">
        <v>0</v>
      </c>
      <c r="I1187" s="422">
        <v>1</v>
      </c>
      <c r="J1187" s="203" t="e">
        <f t="shared" si="113"/>
        <v>#DIV/0!</v>
      </c>
      <c r="K1187" s="433" t="e">
        <f t="shared" si="112"/>
        <v>#DIV/0!</v>
      </c>
    </row>
    <row r="1188" spans="1:11" ht="15.75" hidden="1">
      <c r="A1188" s="87" t="s">
        <v>909</v>
      </c>
      <c r="B1188" s="82" t="s">
        <v>892</v>
      </c>
      <c r="C1188" s="85" t="s">
        <v>1795</v>
      </c>
      <c r="D1188" s="85" t="s">
        <v>1598</v>
      </c>
      <c r="E1188" s="85" t="s">
        <v>1284</v>
      </c>
      <c r="F1188" s="85" t="s">
        <v>1071</v>
      </c>
      <c r="G1188" s="90">
        <f aca="true" t="shared" si="115" ref="G1188:I1189">G1189</f>
        <v>0</v>
      </c>
      <c r="H1188" s="90">
        <f t="shared" si="115"/>
        <v>0</v>
      </c>
      <c r="I1188" s="422">
        <f t="shared" si="115"/>
        <v>0</v>
      </c>
      <c r="J1188" s="203" t="e">
        <f t="shared" si="113"/>
        <v>#DIV/0!</v>
      </c>
      <c r="K1188" s="433" t="e">
        <f t="shared" si="112"/>
        <v>#DIV/0!</v>
      </c>
    </row>
    <row r="1189" spans="1:11" ht="24" hidden="1">
      <c r="A1189" s="87" t="s">
        <v>566</v>
      </c>
      <c r="B1189" s="82" t="s">
        <v>892</v>
      </c>
      <c r="C1189" s="85" t="s">
        <v>1795</v>
      </c>
      <c r="D1189" s="85" t="s">
        <v>1598</v>
      </c>
      <c r="E1189" s="85" t="s">
        <v>465</v>
      </c>
      <c r="F1189" s="85"/>
      <c r="G1189" s="90">
        <f t="shared" si="115"/>
        <v>0</v>
      </c>
      <c r="H1189" s="90">
        <f t="shared" si="115"/>
        <v>0</v>
      </c>
      <c r="I1189" s="422">
        <f t="shared" si="115"/>
        <v>0</v>
      </c>
      <c r="J1189" s="203" t="e">
        <f t="shared" si="113"/>
        <v>#DIV/0!</v>
      </c>
      <c r="K1189" s="433" t="e">
        <f t="shared" si="112"/>
        <v>#DIV/0!</v>
      </c>
    </row>
    <row r="1190" spans="1:11" ht="24" hidden="1">
      <c r="A1190" s="87" t="s">
        <v>1232</v>
      </c>
      <c r="B1190" s="82" t="s">
        <v>892</v>
      </c>
      <c r="C1190" s="85" t="s">
        <v>1795</v>
      </c>
      <c r="D1190" s="85" t="s">
        <v>1598</v>
      </c>
      <c r="E1190" s="85" t="s">
        <v>465</v>
      </c>
      <c r="F1190" s="85" t="s">
        <v>1233</v>
      </c>
      <c r="G1190" s="90"/>
      <c r="H1190" s="90"/>
      <c r="I1190" s="422"/>
      <c r="J1190" s="203" t="e">
        <f t="shared" si="113"/>
        <v>#DIV/0!</v>
      </c>
      <c r="K1190" s="433" t="e">
        <f t="shared" si="112"/>
        <v>#DIV/0!</v>
      </c>
    </row>
    <row r="1191" spans="1:11" ht="15.75" hidden="1">
      <c r="A1191" s="88" t="s">
        <v>767</v>
      </c>
      <c r="B1191" s="82" t="s">
        <v>892</v>
      </c>
      <c r="C1191" s="102" t="s">
        <v>1083</v>
      </c>
      <c r="D1191" s="103"/>
      <c r="E1191" s="103"/>
      <c r="F1191" s="103"/>
      <c r="G1191" s="105">
        <f>G1193+G1195</f>
        <v>0</v>
      </c>
      <c r="H1191" s="105">
        <f>H1193+H1195</f>
        <v>0</v>
      </c>
      <c r="I1191" s="429">
        <f>I1193+I1195</f>
        <v>0</v>
      </c>
      <c r="J1191" s="203" t="e">
        <f t="shared" si="113"/>
        <v>#DIV/0!</v>
      </c>
      <c r="K1191" s="433" t="e">
        <f t="shared" si="112"/>
        <v>#DIV/0!</v>
      </c>
    </row>
    <row r="1192" spans="1:11" ht="24" hidden="1">
      <c r="A1192" s="91" t="s">
        <v>768</v>
      </c>
      <c r="B1192" s="82" t="s">
        <v>892</v>
      </c>
      <c r="C1192" s="102" t="s">
        <v>1083</v>
      </c>
      <c r="D1192" s="102" t="s">
        <v>142</v>
      </c>
      <c r="E1192" s="102"/>
      <c r="F1192" s="102"/>
      <c r="G1192" s="105">
        <f>G1194</f>
        <v>0</v>
      </c>
      <c r="H1192" s="105">
        <f>H1194</f>
        <v>0</v>
      </c>
      <c r="I1192" s="429">
        <f>I1194</f>
        <v>0</v>
      </c>
      <c r="J1192" s="203" t="e">
        <f t="shared" si="113"/>
        <v>#DIV/0!</v>
      </c>
      <c r="K1192" s="433" t="e">
        <f t="shared" si="112"/>
        <v>#DIV/0!</v>
      </c>
    </row>
    <row r="1193" spans="1:11" ht="36" hidden="1">
      <c r="A1193" s="86" t="s">
        <v>202</v>
      </c>
      <c r="B1193" s="82" t="s">
        <v>892</v>
      </c>
      <c r="C1193" s="102" t="s">
        <v>1083</v>
      </c>
      <c r="D1193" s="102" t="s">
        <v>142</v>
      </c>
      <c r="E1193" s="102" t="s">
        <v>203</v>
      </c>
      <c r="F1193" s="102"/>
      <c r="G1193" s="105">
        <f>G1194</f>
        <v>0</v>
      </c>
      <c r="H1193" s="105">
        <f>H1194</f>
        <v>0</v>
      </c>
      <c r="I1193" s="429">
        <f>I1194</f>
        <v>0</v>
      </c>
      <c r="J1193" s="203" t="e">
        <f t="shared" si="113"/>
        <v>#DIV/0!</v>
      </c>
      <c r="K1193" s="433" t="e">
        <f t="shared" si="112"/>
        <v>#DIV/0!</v>
      </c>
    </row>
    <row r="1194" spans="1:11" ht="15.75" hidden="1">
      <c r="A1194" s="92" t="s">
        <v>204</v>
      </c>
      <c r="B1194" s="82" t="s">
        <v>892</v>
      </c>
      <c r="C1194" s="102" t="s">
        <v>1083</v>
      </c>
      <c r="D1194" s="102" t="s">
        <v>142</v>
      </c>
      <c r="E1194" s="102" t="s">
        <v>203</v>
      </c>
      <c r="F1194" s="102" t="s">
        <v>205</v>
      </c>
      <c r="G1194" s="105"/>
      <c r="H1194" s="105"/>
      <c r="I1194" s="429"/>
      <c r="J1194" s="203" t="e">
        <f t="shared" si="113"/>
        <v>#DIV/0!</v>
      </c>
      <c r="K1194" s="433" t="e">
        <f t="shared" si="112"/>
        <v>#DIV/0!</v>
      </c>
    </row>
    <row r="1195" spans="1:11" ht="15.75" hidden="1">
      <c r="A1195" s="86" t="s">
        <v>766</v>
      </c>
      <c r="B1195" s="82" t="s">
        <v>892</v>
      </c>
      <c r="C1195" s="85" t="s">
        <v>1083</v>
      </c>
      <c r="D1195" s="85" t="s">
        <v>1603</v>
      </c>
      <c r="E1195" s="85"/>
      <c r="F1195" s="85"/>
      <c r="G1195" s="90">
        <f aca="true" t="shared" si="116" ref="G1195:I1197">G1196</f>
        <v>0</v>
      </c>
      <c r="H1195" s="90">
        <f t="shared" si="116"/>
        <v>0</v>
      </c>
      <c r="I1195" s="422">
        <f t="shared" si="116"/>
        <v>0</v>
      </c>
      <c r="J1195" s="203" t="e">
        <f t="shared" si="113"/>
        <v>#DIV/0!</v>
      </c>
      <c r="K1195" s="433" t="e">
        <f t="shared" si="112"/>
        <v>#DIV/0!</v>
      </c>
    </row>
    <row r="1196" spans="1:11" ht="15.75" hidden="1">
      <c r="A1196" s="87" t="s">
        <v>765</v>
      </c>
      <c r="B1196" s="82" t="s">
        <v>892</v>
      </c>
      <c r="C1196" s="85" t="s">
        <v>1083</v>
      </c>
      <c r="D1196" s="85" t="s">
        <v>1603</v>
      </c>
      <c r="E1196" s="85" t="s">
        <v>769</v>
      </c>
      <c r="F1196" s="85" t="s">
        <v>1071</v>
      </c>
      <c r="G1196" s="90">
        <f t="shared" si="116"/>
        <v>0</v>
      </c>
      <c r="H1196" s="90">
        <f t="shared" si="116"/>
        <v>0</v>
      </c>
      <c r="I1196" s="422">
        <f t="shared" si="116"/>
        <v>0</v>
      </c>
      <c r="J1196" s="203" t="e">
        <f t="shared" si="113"/>
        <v>#DIV/0!</v>
      </c>
      <c r="K1196" s="433" t="e">
        <f t="shared" si="112"/>
        <v>#DIV/0!</v>
      </c>
    </row>
    <row r="1197" spans="1:11" ht="15.75" hidden="1">
      <c r="A1197" s="87" t="s">
        <v>770</v>
      </c>
      <c r="B1197" s="82" t="s">
        <v>892</v>
      </c>
      <c r="C1197" s="85" t="s">
        <v>1083</v>
      </c>
      <c r="D1197" s="85" t="s">
        <v>1603</v>
      </c>
      <c r="E1197" s="85" t="s">
        <v>771</v>
      </c>
      <c r="F1197" s="85"/>
      <c r="G1197" s="90">
        <f t="shared" si="116"/>
        <v>0</v>
      </c>
      <c r="H1197" s="90">
        <f t="shared" si="116"/>
        <v>0</v>
      </c>
      <c r="I1197" s="422">
        <f t="shared" si="116"/>
        <v>0</v>
      </c>
      <c r="J1197" s="203" t="e">
        <f t="shared" si="113"/>
        <v>#DIV/0!</v>
      </c>
      <c r="K1197" s="433" t="e">
        <f t="shared" si="112"/>
        <v>#DIV/0!</v>
      </c>
    </row>
    <row r="1198" spans="1:11" ht="15.75" hidden="1">
      <c r="A1198" s="87" t="s">
        <v>1662</v>
      </c>
      <c r="B1198" s="82" t="s">
        <v>892</v>
      </c>
      <c r="C1198" s="85" t="s">
        <v>1083</v>
      </c>
      <c r="D1198" s="85" t="s">
        <v>1603</v>
      </c>
      <c r="E1198" s="85" t="s">
        <v>771</v>
      </c>
      <c r="F1198" s="85" t="s">
        <v>892</v>
      </c>
      <c r="G1198" s="90"/>
      <c r="H1198" s="90"/>
      <c r="I1198" s="422"/>
      <c r="J1198" s="203" t="e">
        <f t="shared" si="113"/>
        <v>#DIV/0!</v>
      </c>
      <c r="K1198" s="433" t="e">
        <f t="shared" si="112"/>
        <v>#DIV/0!</v>
      </c>
    </row>
    <row r="1199" spans="1:11" ht="24">
      <c r="A1199" s="86" t="s">
        <v>909</v>
      </c>
      <c r="B1199" s="82" t="s">
        <v>892</v>
      </c>
      <c r="C1199" s="85" t="s">
        <v>1795</v>
      </c>
      <c r="D1199" s="85" t="s">
        <v>1598</v>
      </c>
      <c r="E1199" s="85" t="s">
        <v>910</v>
      </c>
      <c r="F1199" s="85"/>
      <c r="G1199" s="90">
        <f>G1200+G1203+G1205</f>
        <v>4100</v>
      </c>
      <c r="H1199" s="90">
        <f>H1200+H1203+H1205</f>
        <v>7696.200000000001</v>
      </c>
      <c r="I1199" s="422">
        <f>I1200+I1203+I1205</f>
        <v>5562.6</v>
      </c>
      <c r="J1199" s="203">
        <f t="shared" si="113"/>
        <v>135.67317073170733</v>
      </c>
      <c r="K1199" s="433">
        <f t="shared" si="112"/>
        <v>72.27722772277228</v>
      </c>
    </row>
    <row r="1200" spans="1:11" ht="24">
      <c r="A1200" s="278" t="s">
        <v>567</v>
      </c>
      <c r="B1200" s="82" t="s">
        <v>892</v>
      </c>
      <c r="C1200" s="85" t="s">
        <v>1795</v>
      </c>
      <c r="D1200" s="85" t="s">
        <v>1598</v>
      </c>
      <c r="E1200" s="85" t="s">
        <v>1466</v>
      </c>
      <c r="F1200" s="85" t="s">
        <v>1071</v>
      </c>
      <c r="G1200" s="90">
        <f>G1201+G1202</f>
        <v>500</v>
      </c>
      <c r="H1200" s="90">
        <f>H1201+H1202</f>
        <v>4553</v>
      </c>
      <c r="I1200" s="422">
        <f>I1201+I1202</f>
        <v>4466.6</v>
      </c>
      <c r="J1200" s="421" t="s">
        <v>1212</v>
      </c>
      <c r="K1200" s="433">
        <f t="shared" si="112"/>
        <v>98.10235009883594</v>
      </c>
    </row>
    <row r="1201" spans="1:11" ht="72">
      <c r="A1201" s="278" t="s">
        <v>1467</v>
      </c>
      <c r="B1201" s="82" t="s">
        <v>892</v>
      </c>
      <c r="C1201" s="85" t="s">
        <v>1795</v>
      </c>
      <c r="D1201" s="85" t="s">
        <v>1598</v>
      </c>
      <c r="E1201" s="85" t="s">
        <v>1466</v>
      </c>
      <c r="F1201" s="85" t="s">
        <v>1837</v>
      </c>
      <c r="G1201" s="90"/>
      <c r="H1201" s="90">
        <v>1053</v>
      </c>
      <c r="I1201" s="422">
        <v>1053</v>
      </c>
      <c r="J1201" s="203"/>
      <c r="K1201" s="433">
        <f t="shared" si="112"/>
        <v>100</v>
      </c>
    </row>
    <row r="1202" spans="1:11" ht="24">
      <c r="A1202" s="368" t="s">
        <v>1468</v>
      </c>
      <c r="B1202" s="82" t="s">
        <v>892</v>
      </c>
      <c r="C1202" s="85" t="s">
        <v>1795</v>
      </c>
      <c r="D1202" s="85" t="s">
        <v>1598</v>
      </c>
      <c r="E1202" s="85" t="s">
        <v>1466</v>
      </c>
      <c r="F1202" s="85" t="s">
        <v>1719</v>
      </c>
      <c r="G1202" s="90">
        <v>500</v>
      </c>
      <c r="H1202" s="90">
        <f>500+3000</f>
        <v>3500</v>
      </c>
      <c r="I1202" s="422">
        <v>3413.6</v>
      </c>
      <c r="J1202" s="421" t="s">
        <v>1212</v>
      </c>
      <c r="K1202" s="433">
        <f t="shared" si="112"/>
        <v>97.53142857142856</v>
      </c>
    </row>
    <row r="1203" spans="1:11" ht="24">
      <c r="A1203" s="87" t="s">
        <v>1469</v>
      </c>
      <c r="B1203" s="82" t="s">
        <v>892</v>
      </c>
      <c r="C1203" s="85" t="s">
        <v>1795</v>
      </c>
      <c r="D1203" s="85" t="s">
        <v>1598</v>
      </c>
      <c r="E1203" s="85" t="s">
        <v>1470</v>
      </c>
      <c r="F1203" s="85" t="s">
        <v>1071</v>
      </c>
      <c r="G1203" s="90">
        <f>G1204</f>
        <v>3600</v>
      </c>
      <c r="H1203" s="90">
        <f>H1204</f>
        <v>3000.1</v>
      </c>
      <c r="I1203" s="422">
        <f>I1204</f>
        <v>954.9</v>
      </c>
      <c r="J1203" s="203">
        <f t="shared" si="113"/>
        <v>26.525</v>
      </c>
      <c r="K1203" s="433">
        <f t="shared" si="112"/>
        <v>31.82893903536549</v>
      </c>
    </row>
    <row r="1204" spans="1:11" ht="24">
      <c r="A1204" s="87" t="s">
        <v>1232</v>
      </c>
      <c r="B1204" s="82" t="s">
        <v>892</v>
      </c>
      <c r="C1204" s="85" t="s">
        <v>1795</v>
      </c>
      <c r="D1204" s="85" t="s">
        <v>1598</v>
      </c>
      <c r="E1204" s="85" t="s">
        <v>1470</v>
      </c>
      <c r="F1204" s="85" t="s">
        <v>1233</v>
      </c>
      <c r="G1204" s="90">
        <v>3600</v>
      </c>
      <c r="H1204" s="90">
        <f>3600-599.9</f>
        <v>3000.1</v>
      </c>
      <c r="I1204" s="422">
        <v>954.9</v>
      </c>
      <c r="J1204" s="203">
        <f t="shared" si="113"/>
        <v>26.525</v>
      </c>
      <c r="K1204" s="433">
        <f t="shared" si="112"/>
        <v>31.82893903536549</v>
      </c>
    </row>
    <row r="1205" spans="1:11" ht="48">
      <c r="A1205" s="355" t="s">
        <v>568</v>
      </c>
      <c r="B1205" s="82" t="s">
        <v>892</v>
      </c>
      <c r="C1205" s="85" t="s">
        <v>1795</v>
      </c>
      <c r="D1205" s="85" t="s">
        <v>1598</v>
      </c>
      <c r="E1205" s="85" t="s">
        <v>1472</v>
      </c>
      <c r="F1205" s="85" t="s">
        <v>1071</v>
      </c>
      <c r="G1205" s="90">
        <f>G1206</f>
        <v>0</v>
      </c>
      <c r="H1205" s="90">
        <f>H1206</f>
        <v>143.1</v>
      </c>
      <c r="I1205" s="422">
        <f>I1206</f>
        <v>141.1</v>
      </c>
      <c r="J1205" s="203"/>
      <c r="K1205" s="433">
        <f t="shared" si="112"/>
        <v>98.60237596086652</v>
      </c>
    </row>
    <row r="1206" spans="1:11" ht="24">
      <c r="A1206" s="87" t="s">
        <v>1433</v>
      </c>
      <c r="B1206" s="82" t="s">
        <v>892</v>
      </c>
      <c r="C1206" s="85" t="s">
        <v>1795</v>
      </c>
      <c r="D1206" s="85" t="s">
        <v>1598</v>
      </c>
      <c r="E1206" s="85" t="s">
        <v>1472</v>
      </c>
      <c r="F1206" s="85" t="s">
        <v>1434</v>
      </c>
      <c r="G1206" s="90"/>
      <c r="H1206" s="90">
        <f>75.8+67.3</f>
        <v>143.1</v>
      </c>
      <c r="I1206" s="422">
        <v>141.1</v>
      </c>
      <c r="J1206" s="203"/>
      <c r="K1206" s="433">
        <f t="shared" si="112"/>
        <v>98.60237596086652</v>
      </c>
    </row>
    <row r="1207" spans="1:11" ht="15">
      <c r="A1207" s="91" t="s">
        <v>360</v>
      </c>
      <c r="B1207" s="82" t="s">
        <v>892</v>
      </c>
      <c r="C1207" s="85" t="s">
        <v>1795</v>
      </c>
      <c r="D1207" s="85" t="s">
        <v>1603</v>
      </c>
      <c r="E1207" s="281"/>
      <c r="F1207" s="85"/>
      <c r="G1207" s="90">
        <f aca="true" t="shared" si="117" ref="G1207:I1209">G1208</f>
        <v>2643</v>
      </c>
      <c r="H1207" s="90">
        <f t="shared" si="117"/>
        <v>2643</v>
      </c>
      <c r="I1207" s="422">
        <f t="shared" si="117"/>
        <v>0</v>
      </c>
      <c r="J1207" s="203"/>
      <c r="K1207" s="433">
        <f t="shared" si="112"/>
        <v>0</v>
      </c>
    </row>
    <row r="1208" spans="1:11" ht="15">
      <c r="A1208" s="86" t="s">
        <v>520</v>
      </c>
      <c r="B1208" s="82" t="s">
        <v>892</v>
      </c>
      <c r="C1208" s="85" t="s">
        <v>1795</v>
      </c>
      <c r="D1208" s="85" t="s">
        <v>1603</v>
      </c>
      <c r="E1208" s="282" t="s">
        <v>1606</v>
      </c>
      <c r="F1208" s="85"/>
      <c r="G1208" s="90">
        <f>G1209+G1211</f>
        <v>2643</v>
      </c>
      <c r="H1208" s="90">
        <f t="shared" si="117"/>
        <v>2643</v>
      </c>
      <c r="I1208" s="422">
        <f t="shared" si="117"/>
        <v>0</v>
      </c>
      <c r="J1208" s="203"/>
      <c r="K1208" s="433">
        <f t="shared" si="112"/>
        <v>0</v>
      </c>
    </row>
    <row r="1209" spans="1:11" ht="48">
      <c r="A1209" s="92" t="s">
        <v>1009</v>
      </c>
      <c r="B1209" s="82" t="s">
        <v>892</v>
      </c>
      <c r="C1209" s="85" t="s">
        <v>1795</v>
      </c>
      <c r="D1209" s="85" t="s">
        <v>1603</v>
      </c>
      <c r="E1209" s="85" t="s">
        <v>1473</v>
      </c>
      <c r="F1209" s="85" t="s">
        <v>1071</v>
      </c>
      <c r="G1209" s="90">
        <f>G1210</f>
        <v>0</v>
      </c>
      <c r="H1209" s="90">
        <f t="shared" si="117"/>
        <v>2643</v>
      </c>
      <c r="I1209" s="422">
        <f t="shared" si="117"/>
        <v>0</v>
      </c>
      <c r="J1209" s="203"/>
      <c r="K1209" s="433">
        <f t="shared" si="112"/>
        <v>0</v>
      </c>
    </row>
    <row r="1210" spans="1:11" ht="24">
      <c r="A1210" s="92" t="s">
        <v>938</v>
      </c>
      <c r="B1210" s="82" t="s">
        <v>892</v>
      </c>
      <c r="C1210" s="85" t="s">
        <v>1795</v>
      </c>
      <c r="D1210" s="85" t="s">
        <v>1603</v>
      </c>
      <c r="E1210" s="85" t="s">
        <v>1473</v>
      </c>
      <c r="F1210" s="85" t="s">
        <v>742</v>
      </c>
      <c r="G1210" s="90"/>
      <c r="H1210" s="90">
        <v>2643</v>
      </c>
      <c r="I1210" s="422"/>
      <c r="J1210" s="203"/>
      <c r="K1210" s="433">
        <f t="shared" si="112"/>
        <v>0</v>
      </c>
    </row>
    <row r="1211" spans="1:11" ht="48">
      <c r="A1211" s="92" t="s">
        <v>534</v>
      </c>
      <c r="B1211" s="82" t="s">
        <v>892</v>
      </c>
      <c r="C1211" s="85" t="s">
        <v>1795</v>
      </c>
      <c r="D1211" s="85" t="s">
        <v>1603</v>
      </c>
      <c r="E1211" s="85" t="s">
        <v>535</v>
      </c>
      <c r="F1211" s="85" t="s">
        <v>1071</v>
      </c>
      <c r="G1211" s="90">
        <f>G1212</f>
        <v>2643</v>
      </c>
      <c r="H1211" s="90"/>
      <c r="I1211" s="422"/>
      <c r="J1211" s="203">
        <f t="shared" si="113"/>
        <v>0</v>
      </c>
      <c r="K1211" s="433"/>
    </row>
    <row r="1212" spans="1:11" ht="24">
      <c r="A1212" s="92" t="s">
        <v>938</v>
      </c>
      <c r="B1212" s="82" t="s">
        <v>892</v>
      </c>
      <c r="C1212" s="85" t="s">
        <v>1795</v>
      </c>
      <c r="D1212" s="85" t="s">
        <v>1603</v>
      </c>
      <c r="E1212" s="85" t="s">
        <v>535</v>
      </c>
      <c r="F1212" s="85" t="s">
        <v>1879</v>
      </c>
      <c r="G1212" s="90">
        <v>2643</v>
      </c>
      <c r="H1212" s="90"/>
      <c r="I1212" s="422"/>
      <c r="J1212" s="203">
        <f aca="true" t="shared" si="118" ref="J1212:J1243">I1212/G1212*100</f>
        <v>0</v>
      </c>
      <c r="K1212" s="433"/>
    </row>
    <row r="1213" spans="1:11" ht="15.75" hidden="1">
      <c r="A1213" s="175" t="s">
        <v>278</v>
      </c>
      <c r="B1213" s="82" t="s">
        <v>892</v>
      </c>
      <c r="C1213" s="174" t="s">
        <v>1083</v>
      </c>
      <c r="D1213" s="103"/>
      <c r="E1213" s="103"/>
      <c r="F1213" s="103"/>
      <c r="G1213" s="90">
        <f aca="true" t="shared" si="119" ref="G1213:I1216">G1214</f>
        <v>0</v>
      </c>
      <c r="H1213" s="90">
        <f t="shared" si="119"/>
        <v>0</v>
      </c>
      <c r="I1213" s="422">
        <f t="shared" si="119"/>
        <v>0</v>
      </c>
      <c r="J1213" s="203" t="e">
        <f t="shared" si="118"/>
        <v>#DIV/0!</v>
      </c>
      <c r="K1213" s="433" t="e">
        <f aca="true" t="shared" si="120" ref="K1213:K1242">I1213/H1213*100</f>
        <v>#DIV/0!</v>
      </c>
    </row>
    <row r="1214" spans="1:11" ht="15.75" hidden="1">
      <c r="A1214" s="91" t="s">
        <v>160</v>
      </c>
      <c r="B1214" s="82" t="s">
        <v>892</v>
      </c>
      <c r="C1214" s="102" t="s">
        <v>1083</v>
      </c>
      <c r="D1214" s="102" t="s">
        <v>141</v>
      </c>
      <c r="E1214" s="102"/>
      <c r="F1214" s="102"/>
      <c r="G1214" s="90">
        <f t="shared" si="119"/>
        <v>0</v>
      </c>
      <c r="H1214" s="90">
        <f t="shared" si="119"/>
        <v>0</v>
      </c>
      <c r="I1214" s="422">
        <f t="shared" si="119"/>
        <v>0</v>
      </c>
      <c r="J1214" s="203" t="e">
        <f t="shared" si="118"/>
        <v>#DIV/0!</v>
      </c>
      <c r="K1214" s="433" t="e">
        <f t="shared" si="120"/>
        <v>#DIV/0!</v>
      </c>
    </row>
    <row r="1215" spans="1:11" ht="24.75" hidden="1">
      <c r="A1215" s="107" t="s">
        <v>1393</v>
      </c>
      <c r="B1215" s="82" t="s">
        <v>892</v>
      </c>
      <c r="C1215" s="85" t="s">
        <v>1083</v>
      </c>
      <c r="D1215" s="85" t="s">
        <v>141</v>
      </c>
      <c r="E1215" s="85" t="s">
        <v>936</v>
      </c>
      <c r="F1215" s="85"/>
      <c r="G1215" s="90">
        <f t="shared" si="119"/>
        <v>0</v>
      </c>
      <c r="H1215" s="90">
        <f t="shared" si="119"/>
        <v>0</v>
      </c>
      <c r="I1215" s="422">
        <f t="shared" si="119"/>
        <v>0</v>
      </c>
      <c r="J1215" s="203" t="e">
        <f t="shared" si="118"/>
        <v>#DIV/0!</v>
      </c>
      <c r="K1215" s="433" t="e">
        <f t="shared" si="120"/>
        <v>#DIV/0!</v>
      </c>
    </row>
    <row r="1216" spans="1:11" ht="24.75" hidden="1">
      <c r="A1216" s="108" t="s">
        <v>47</v>
      </c>
      <c r="B1216" s="82" t="s">
        <v>892</v>
      </c>
      <c r="C1216" s="85" t="s">
        <v>1083</v>
      </c>
      <c r="D1216" s="85" t="s">
        <v>141</v>
      </c>
      <c r="E1216" s="85" t="s">
        <v>1049</v>
      </c>
      <c r="F1216" s="85" t="s">
        <v>1071</v>
      </c>
      <c r="G1216" s="90">
        <f t="shared" si="119"/>
        <v>0</v>
      </c>
      <c r="H1216" s="90">
        <f t="shared" si="119"/>
        <v>0</v>
      </c>
      <c r="I1216" s="422">
        <f t="shared" si="119"/>
        <v>0</v>
      </c>
      <c r="J1216" s="203" t="e">
        <f t="shared" si="118"/>
        <v>#DIV/0!</v>
      </c>
      <c r="K1216" s="433" t="e">
        <f t="shared" si="120"/>
        <v>#DIV/0!</v>
      </c>
    </row>
    <row r="1217" spans="1:11" ht="36.75" hidden="1">
      <c r="A1217" s="108" t="s">
        <v>227</v>
      </c>
      <c r="B1217" s="82" t="s">
        <v>892</v>
      </c>
      <c r="C1217" s="85" t="s">
        <v>1083</v>
      </c>
      <c r="D1217" s="85" t="s">
        <v>141</v>
      </c>
      <c r="E1217" s="85" t="s">
        <v>1049</v>
      </c>
      <c r="F1217" s="85" t="s">
        <v>1879</v>
      </c>
      <c r="G1217" s="90"/>
      <c r="H1217" s="90"/>
      <c r="I1217" s="422"/>
      <c r="J1217" s="203" t="e">
        <f t="shared" si="118"/>
        <v>#DIV/0!</v>
      </c>
      <c r="K1217" s="433" t="e">
        <f t="shared" si="120"/>
        <v>#DIV/0!</v>
      </c>
    </row>
    <row r="1218" spans="1:11" ht="15.75" hidden="1">
      <c r="A1218" s="93" t="s">
        <v>241</v>
      </c>
      <c r="B1218" s="82" t="s">
        <v>892</v>
      </c>
      <c r="C1218" s="102" t="s">
        <v>1083</v>
      </c>
      <c r="D1218" s="102" t="s">
        <v>141</v>
      </c>
      <c r="E1218" s="85" t="s">
        <v>242</v>
      </c>
      <c r="F1218" s="85"/>
      <c r="G1218" s="90">
        <f>G1219</f>
        <v>0</v>
      </c>
      <c r="H1218" s="90">
        <f>H1219</f>
        <v>0</v>
      </c>
      <c r="I1218" s="422">
        <f>I1219</f>
        <v>0</v>
      </c>
      <c r="J1218" s="203" t="e">
        <f t="shared" si="118"/>
        <v>#DIV/0!</v>
      </c>
      <c r="K1218" s="433" t="e">
        <f t="shared" si="120"/>
        <v>#DIV/0!</v>
      </c>
    </row>
    <row r="1219" spans="1:11" ht="15.75" hidden="1">
      <c r="A1219" s="87" t="s">
        <v>661</v>
      </c>
      <c r="B1219" s="82" t="s">
        <v>892</v>
      </c>
      <c r="C1219" s="102" t="s">
        <v>1083</v>
      </c>
      <c r="D1219" s="102" t="s">
        <v>141</v>
      </c>
      <c r="E1219" s="85" t="s">
        <v>243</v>
      </c>
      <c r="F1219" s="85" t="s">
        <v>1071</v>
      </c>
      <c r="G1219" s="90">
        <f>G1221</f>
        <v>0</v>
      </c>
      <c r="H1219" s="90">
        <f>H1221</f>
        <v>0</v>
      </c>
      <c r="I1219" s="422">
        <f>I1221</f>
        <v>0</v>
      </c>
      <c r="J1219" s="203" t="e">
        <f t="shared" si="118"/>
        <v>#DIV/0!</v>
      </c>
      <c r="K1219" s="433" t="e">
        <f t="shared" si="120"/>
        <v>#DIV/0!</v>
      </c>
    </row>
    <row r="1220" spans="1:11" ht="15.75" hidden="1">
      <c r="A1220" s="87" t="s">
        <v>1758</v>
      </c>
      <c r="B1220" s="82" t="s">
        <v>892</v>
      </c>
      <c r="C1220" s="102" t="s">
        <v>1083</v>
      </c>
      <c r="D1220" s="102" t="s">
        <v>141</v>
      </c>
      <c r="E1220" s="85" t="s">
        <v>243</v>
      </c>
      <c r="F1220" s="85" t="s">
        <v>1878</v>
      </c>
      <c r="G1220" s="90"/>
      <c r="H1220" s="90"/>
      <c r="I1220" s="422"/>
      <c r="J1220" s="203" t="e">
        <f t="shared" si="118"/>
        <v>#DIV/0!</v>
      </c>
      <c r="K1220" s="433" t="e">
        <f t="shared" si="120"/>
        <v>#DIV/0!</v>
      </c>
    </row>
    <row r="1221" spans="1:11" ht="15.75" hidden="1">
      <c r="A1221" s="87" t="s">
        <v>925</v>
      </c>
      <c r="B1221" s="82" t="s">
        <v>892</v>
      </c>
      <c r="C1221" s="102" t="s">
        <v>1083</v>
      </c>
      <c r="D1221" s="102" t="s">
        <v>141</v>
      </c>
      <c r="E1221" s="85" t="s">
        <v>243</v>
      </c>
      <c r="F1221" s="85" t="s">
        <v>926</v>
      </c>
      <c r="G1221" s="90">
        <f>25437+46395-71832</f>
        <v>0</v>
      </c>
      <c r="H1221" s="90">
        <f>25437+46395-71832</f>
        <v>0</v>
      </c>
      <c r="I1221" s="422">
        <f>25437+46395-71832</f>
        <v>0</v>
      </c>
      <c r="J1221" s="203" t="e">
        <f t="shared" si="118"/>
        <v>#DIV/0!</v>
      </c>
      <c r="K1221" s="433" t="e">
        <f t="shared" si="120"/>
        <v>#DIV/0!</v>
      </c>
    </row>
    <row r="1222" spans="1:11" ht="15">
      <c r="A1222" s="106" t="s">
        <v>161</v>
      </c>
      <c r="B1222" s="82" t="s">
        <v>892</v>
      </c>
      <c r="C1222" s="83" t="s">
        <v>1250</v>
      </c>
      <c r="D1222" s="85"/>
      <c r="E1222" s="85"/>
      <c r="F1222" s="85"/>
      <c r="G1222" s="90">
        <f>G1223+G1228</f>
        <v>16904</v>
      </c>
      <c r="H1222" s="90">
        <f>H1223+H1228</f>
        <v>17904</v>
      </c>
      <c r="I1222" s="422">
        <f>I1223+I1228</f>
        <v>17904</v>
      </c>
      <c r="J1222" s="203">
        <f t="shared" si="118"/>
        <v>105.91575958353052</v>
      </c>
      <c r="K1222" s="433">
        <f t="shared" si="120"/>
        <v>100</v>
      </c>
    </row>
    <row r="1223" spans="1:11" ht="15">
      <c r="A1223" s="253" t="s">
        <v>471</v>
      </c>
      <c r="B1223" s="82" t="s">
        <v>892</v>
      </c>
      <c r="C1223" s="85" t="s">
        <v>1250</v>
      </c>
      <c r="D1223" s="85" t="s">
        <v>141</v>
      </c>
      <c r="E1223" s="116"/>
      <c r="F1223" s="116"/>
      <c r="G1223" s="90">
        <f aca="true" t="shared" si="121" ref="G1223:I1224">G1224</f>
        <v>10388</v>
      </c>
      <c r="H1223" s="90">
        <f t="shared" si="121"/>
        <v>10388</v>
      </c>
      <c r="I1223" s="422">
        <f t="shared" si="121"/>
        <v>10388</v>
      </c>
      <c r="J1223" s="203">
        <f t="shared" si="118"/>
        <v>100</v>
      </c>
      <c r="K1223" s="433">
        <f t="shared" si="120"/>
        <v>100</v>
      </c>
    </row>
    <row r="1224" spans="1:11" ht="24">
      <c r="A1224" s="93" t="s">
        <v>162</v>
      </c>
      <c r="B1224" s="82" t="s">
        <v>892</v>
      </c>
      <c r="C1224" s="85" t="s">
        <v>1250</v>
      </c>
      <c r="D1224" s="85" t="s">
        <v>141</v>
      </c>
      <c r="E1224" s="85" t="s">
        <v>163</v>
      </c>
      <c r="F1224" s="85"/>
      <c r="G1224" s="90">
        <f t="shared" si="121"/>
        <v>10388</v>
      </c>
      <c r="H1224" s="90">
        <f t="shared" si="121"/>
        <v>10388</v>
      </c>
      <c r="I1224" s="422">
        <f t="shared" si="121"/>
        <v>10388</v>
      </c>
      <c r="J1224" s="203">
        <f t="shared" si="118"/>
        <v>100</v>
      </c>
      <c r="K1224" s="433">
        <f t="shared" si="120"/>
        <v>100</v>
      </c>
    </row>
    <row r="1225" spans="1:11" ht="24">
      <c r="A1225" s="87" t="s">
        <v>164</v>
      </c>
      <c r="B1225" s="82" t="s">
        <v>892</v>
      </c>
      <c r="C1225" s="85" t="s">
        <v>1250</v>
      </c>
      <c r="D1225" s="85" t="s">
        <v>141</v>
      </c>
      <c r="E1225" s="85" t="s">
        <v>165</v>
      </c>
      <c r="F1225" s="85" t="s">
        <v>1071</v>
      </c>
      <c r="G1225" s="90">
        <f>G1226+G1227</f>
        <v>10388</v>
      </c>
      <c r="H1225" s="90">
        <f>H1227</f>
        <v>10388</v>
      </c>
      <c r="I1225" s="422">
        <f>I1227</f>
        <v>10388</v>
      </c>
      <c r="J1225" s="203">
        <f t="shared" si="118"/>
        <v>100</v>
      </c>
      <c r="K1225" s="433">
        <f t="shared" si="120"/>
        <v>100</v>
      </c>
    </row>
    <row r="1226" spans="1:11" ht="24">
      <c r="A1226" s="87" t="s">
        <v>924</v>
      </c>
      <c r="B1226" s="82" t="s">
        <v>892</v>
      </c>
      <c r="C1226" s="85" t="s">
        <v>1250</v>
      </c>
      <c r="D1226" s="85" t="s">
        <v>141</v>
      </c>
      <c r="E1226" s="85" t="s">
        <v>165</v>
      </c>
      <c r="F1226" s="85" t="s">
        <v>1881</v>
      </c>
      <c r="G1226" s="90">
        <v>10388</v>
      </c>
      <c r="H1226" s="90"/>
      <c r="I1226" s="422"/>
      <c r="J1226" s="203">
        <f t="shared" si="118"/>
        <v>0</v>
      </c>
      <c r="K1226" s="433"/>
    </row>
    <row r="1227" spans="1:11" ht="36">
      <c r="A1227" s="92" t="s">
        <v>185</v>
      </c>
      <c r="B1227" s="82" t="s">
        <v>892</v>
      </c>
      <c r="C1227" s="85" t="s">
        <v>1250</v>
      </c>
      <c r="D1227" s="85" t="s">
        <v>141</v>
      </c>
      <c r="E1227" s="85" t="s">
        <v>165</v>
      </c>
      <c r="F1227" s="85" t="s">
        <v>186</v>
      </c>
      <c r="G1227" s="90"/>
      <c r="H1227" s="90">
        <v>10388</v>
      </c>
      <c r="I1227" s="422">
        <v>10388</v>
      </c>
      <c r="J1227" s="203"/>
      <c r="K1227" s="433">
        <f t="shared" si="120"/>
        <v>100</v>
      </c>
    </row>
    <row r="1228" spans="1:11" ht="15">
      <c r="A1228" s="96" t="s">
        <v>166</v>
      </c>
      <c r="B1228" s="82" t="s">
        <v>892</v>
      </c>
      <c r="C1228" s="85" t="s">
        <v>1250</v>
      </c>
      <c r="D1228" s="85" t="s">
        <v>142</v>
      </c>
      <c r="E1228" s="85"/>
      <c r="F1228" s="85"/>
      <c r="G1228" s="90">
        <f>G1229</f>
        <v>6516</v>
      </c>
      <c r="H1228" s="90">
        <f>H1229</f>
        <v>7516</v>
      </c>
      <c r="I1228" s="422">
        <f>I1229</f>
        <v>7516</v>
      </c>
      <c r="J1228" s="203">
        <f t="shared" si="118"/>
        <v>115.34683855125844</v>
      </c>
      <c r="K1228" s="433">
        <f t="shared" si="120"/>
        <v>100</v>
      </c>
    </row>
    <row r="1229" spans="1:11" ht="24">
      <c r="A1229" s="94" t="s">
        <v>43</v>
      </c>
      <c r="B1229" s="82" t="s">
        <v>892</v>
      </c>
      <c r="C1229" s="85" t="s">
        <v>1250</v>
      </c>
      <c r="D1229" s="85" t="s">
        <v>142</v>
      </c>
      <c r="E1229" s="85" t="s">
        <v>1383</v>
      </c>
      <c r="F1229" s="85"/>
      <c r="G1229" s="90">
        <f>G1230+G1232</f>
        <v>6516</v>
      </c>
      <c r="H1229" s="90">
        <f>H1232</f>
        <v>7516</v>
      </c>
      <c r="I1229" s="422">
        <f>I1232</f>
        <v>7516</v>
      </c>
      <c r="J1229" s="203">
        <f t="shared" si="118"/>
        <v>115.34683855125844</v>
      </c>
      <c r="K1229" s="433">
        <f t="shared" si="120"/>
        <v>100</v>
      </c>
    </row>
    <row r="1230" spans="1:11" ht="24">
      <c r="A1230" s="87" t="s">
        <v>759</v>
      </c>
      <c r="B1230" s="82" t="s">
        <v>892</v>
      </c>
      <c r="C1230" s="85" t="s">
        <v>1250</v>
      </c>
      <c r="D1230" s="85" t="s">
        <v>142</v>
      </c>
      <c r="E1230" s="85" t="s">
        <v>168</v>
      </c>
      <c r="F1230" s="85" t="s">
        <v>1071</v>
      </c>
      <c r="G1230" s="90">
        <f>G1231</f>
        <v>6516</v>
      </c>
      <c r="H1230" s="90"/>
      <c r="I1230" s="422"/>
      <c r="J1230" s="203">
        <f t="shared" si="118"/>
        <v>0</v>
      </c>
      <c r="K1230" s="433"/>
    </row>
    <row r="1231" spans="1:11" ht="24">
      <c r="A1231" s="87" t="s">
        <v>924</v>
      </c>
      <c r="B1231" s="82" t="s">
        <v>892</v>
      </c>
      <c r="C1231" s="85" t="s">
        <v>1250</v>
      </c>
      <c r="D1231" s="85" t="s">
        <v>142</v>
      </c>
      <c r="E1231" s="85" t="s">
        <v>168</v>
      </c>
      <c r="F1231" s="85" t="s">
        <v>1881</v>
      </c>
      <c r="G1231" s="90">
        <v>6516</v>
      </c>
      <c r="H1231" s="90"/>
      <c r="I1231" s="422"/>
      <c r="J1231" s="203">
        <f t="shared" si="118"/>
        <v>0</v>
      </c>
      <c r="K1231" s="433"/>
    </row>
    <row r="1232" spans="1:11" ht="24">
      <c r="A1232" s="87" t="s">
        <v>759</v>
      </c>
      <c r="B1232" s="82" t="s">
        <v>892</v>
      </c>
      <c r="C1232" s="85" t="s">
        <v>1250</v>
      </c>
      <c r="D1232" s="85" t="s">
        <v>142</v>
      </c>
      <c r="E1232" s="85" t="s">
        <v>773</v>
      </c>
      <c r="F1232" s="85" t="s">
        <v>1071</v>
      </c>
      <c r="G1232" s="90">
        <f>G1233+G1234</f>
        <v>0</v>
      </c>
      <c r="H1232" s="90">
        <f>H1233+H1234</f>
        <v>7516</v>
      </c>
      <c r="I1232" s="422">
        <f>I1233+I1234</f>
        <v>7516</v>
      </c>
      <c r="J1232" s="203"/>
      <c r="K1232" s="433">
        <f t="shared" si="120"/>
        <v>100</v>
      </c>
    </row>
    <row r="1233" spans="1:11" ht="36">
      <c r="A1233" s="92" t="s">
        <v>185</v>
      </c>
      <c r="B1233" s="82" t="s">
        <v>892</v>
      </c>
      <c r="C1233" s="85" t="s">
        <v>1250</v>
      </c>
      <c r="D1233" s="85" t="s">
        <v>142</v>
      </c>
      <c r="E1233" s="85" t="s">
        <v>773</v>
      </c>
      <c r="F1233" s="85" t="s">
        <v>186</v>
      </c>
      <c r="G1233" s="90"/>
      <c r="H1233" s="90">
        <f>6971-455</f>
        <v>6516</v>
      </c>
      <c r="I1233" s="422">
        <v>6516</v>
      </c>
      <c r="J1233" s="203"/>
      <c r="K1233" s="433">
        <f t="shared" si="120"/>
        <v>100</v>
      </c>
    </row>
    <row r="1234" spans="1:11" ht="36">
      <c r="A1234" s="92" t="s">
        <v>185</v>
      </c>
      <c r="B1234" s="82" t="s">
        <v>892</v>
      </c>
      <c r="C1234" s="85" t="s">
        <v>1250</v>
      </c>
      <c r="D1234" s="85" t="s">
        <v>142</v>
      </c>
      <c r="E1234" s="85" t="s">
        <v>773</v>
      </c>
      <c r="F1234" s="85" t="s">
        <v>186</v>
      </c>
      <c r="G1234" s="90"/>
      <c r="H1234" s="90">
        <v>1000</v>
      </c>
      <c r="I1234" s="422">
        <v>1000</v>
      </c>
      <c r="J1234" s="203"/>
      <c r="K1234" s="433">
        <f t="shared" si="120"/>
        <v>100</v>
      </c>
    </row>
    <row r="1235" spans="1:11" ht="15">
      <c r="A1235" s="91" t="s">
        <v>1082</v>
      </c>
      <c r="B1235" s="82" t="s">
        <v>892</v>
      </c>
      <c r="C1235" s="85" t="s">
        <v>546</v>
      </c>
      <c r="D1235" s="85" t="s">
        <v>169</v>
      </c>
      <c r="E1235" s="85"/>
      <c r="F1235" s="85"/>
      <c r="G1235" s="90">
        <f>G1236</f>
        <v>55000</v>
      </c>
      <c r="H1235" s="90">
        <f>H1236</f>
        <v>0</v>
      </c>
      <c r="I1235" s="422">
        <f>I1236</f>
        <v>0</v>
      </c>
      <c r="J1235" s="203">
        <f t="shared" si="118"/>
        <v>0</v>
      </c>
      <c r="K1235" s="433"/>
    </row>
    <row r="1236" spans="1:11" ht="24">
      <c r="A1236" s="93" t="s">
        <v>476</v>
      </c>
      <c r="B1236" s="82" t="s">
        <v>892</v>
      </c>
      <c r="C1236" s="85" t="s">
        <v>546</v>
      </c>
      <c r="D1236" s="85" t="s">
        <v>141</v>
      </c>
      <c r="E1236" s="85" t="s">
        <v>1076</v>
      </c>
      <c r="F1236" s="85"/>
      <c r="G1236" s="90">
        <f>G1237+G1238+G1239</f>
        <v>55000</v>
      </c>
      <c r="H1236" s="90">
        <f>H1238+H1239</f>
        <v>0</v>
      </c>
      <c r="I1236" s="422">
        <f>I1238+I1239</f>
        <v>0</v>
      </c>
      <c r="J1236" s="203">
        <f t="shared" si="118"/>
        <v>0</v>
      </c>
      <c r="K1236" s="433"/>
    </row>
    <row r="1237" spans="1:11" ht="24">
      <c r="A1237" s="87" t="s">
        <v>170</v>
      </c>
      <c r="B1237" s="82" t="s">
        <v>892</v>
      </c>
      <c r="C1237" s="85" t="s">
        <v>546</v>
      </c>
      <c r="D1237" s="85" t="s">
        <v>141</v>
      </c>
      <c r="E1237" s="85" t="s">
        <v>539</v>
      </c>
      <c r="F1237" s="85" t="s">
        <v>541</v>
      </c>
      <c r="G1237" s="90">
        <v>25000</v>
      </c>
      <c r="H1237" s="90"/>
      <c r="I1237" s="422"/>
      <c r="J1237" s="203">
        <f t="shared" si="118"/>
        <v>0</v>
      </c>
      <c r="K1237" s="433"/>
    </row>
    <row r="1238" spans="1:11" ht="24">
      <c r="A1238" s="87" t="s">
        <v>569</v>
      </c>
      <c r="B1238" s="82" t="s">
        <v>892</v>
      </c>
      <c r="C1238" s="85" t="s">
        <v>546</v>
      </c>
      <c r="D1238" s="85" t="s">
        <v>141</v>
      </c>
      <c r="E1238" s="85" t="s">
        <v>539</v>
      </c>
      <c r="F1238" s="85" t="s">
        <v>570</v>
      </c>
      <c r="G1238" s="90">
        <f>15000+10000-5000-11000-9000</f>
        <v>0</v>
      </c>
      <c r="H1238" s="90">
        <f>15000+10000-5000-11000-9000</f>
        <v>0</v>
      </c>
      <c r="I1238" s="422">
        <f>15000+10000-5000-11000-9000</f>
        <v>0</v>
      </c>
      <c r="J1238" s="203"/>
      <c r="K1238" s="433"/>
    </row>
    <row r="1239" spans="1:11" ht="36">
      <c r="A1239" s="87" t="s">
        <v>552</v>
      </c>
      <c r="B1239" s="82" t="s">
        <v>892</v>
      </c>
      <c r="C1239" s="85" t="s">
        <v>546</v>
      </c>
      <c r="D1239" s="85" t="s">
        <v>141</v>
      </c>
      <c r="E1239" s="85" t="s">
        <v>539</v>
      </c>
      <c r="F1239" s="85" t="s">
        <v>553</v>
      </c>
      <c r="G1239" s="90">
        <v>30000</v>
      </c>
      <c r="H1239" s="90">
        <f>90000-60000+30000-12000-48000</f>
        <v>0</v>
      </c>
      <c r="I1239" s="422">
        <f>90000-60000+30000-12000-48000</f>
        <v>0</v>
      </c>
      <c r="J1239" s="203">
        <f t="shared" si="118"/>
        <v>0</v>
      </c>
      <c r="K1239" s="433"/>
    </row>
    <row r="1240" spans="1:11" ht="38.25">
      <c r="A1240" s="175" t="s">
        <v>554</v>
      </c>
      <c r="B1240" s="82" t="s">
        <v>892</v>
      </c>
      <c r="C1240" s="116" t="s">
        <v>1764</v>
      </c>
      <c r="D1240" s="103"/>
      <c r="E1240" s="103"/>
      <c r="F1240" s="103"/>
      <c r="G1240" s="90">
        <f aca="true" t="shared" si="122" ref="G1240:I1241">G1241</f>
        <v>139659</v>
      </c>
      <c r="H1240" s="90">
        <f t="shared" si="122"/>
        <v>146132</v>
      </c>
      <c r="I1240" s="422">
        <f t="shared" si="122"/>
        <v>146132</v>
      </c>
      <c r="J1240" s="203">
        <f t="shared" si="118"/>
        <v>104.63486062480756</v>
      </c>
      <c r="K1240" s="433">
        <f t="shared" si="120"/>
        <v>100</v>
      </c>
    </row>
    <row r="1241" spans="1:11" ht="15">
      <c r="A1241" s="91" t="s">
        <v>555</v>
      </c>
      <c r="B1241" s="82" t="s">
        <v>892</v>
      </c>
      <c r="C1241" s="85" t="s">
        <v>1764</v>
      </c>
      <c r="D1241" s="85" t="s">
        <v>1598</v>
      </c>
      <c r="E1241" s="85"/>
      <c r="F1241" s="85"/>
      <c r="G1241" s="90">
        <f t="shared" si="122"/>
        <v>139659</v>
      </c>
      <c r="H1241" s="90">
        <f t="shared" si="122"/>
        <v>146132</v>
      </c>
      <c r="I1241" s="422">
        <f t="shared" si="122"/>
        <v>146132</v>
      </c>
      <c r="J1241" s="203">
        <f t="shared" si="118"/>
        <v>104.63486062480756</v>
      </c>
      <c r="K1241" s="433">
        <f t="shared" si="120"/>
        <v>100</v>
      </c>
    </row>
    <row r="1242" spans="1:11" ht="36">
      <c r="A1242" s="92" t="s">
        <v>202</v>
      </c>
      <c r="B1242" s="82" t="s">
        <v>892</v>
      </c>
      <c r="C1242" s="85" t="s">
        <v>1764</v>
      </c>
      <c r="D1242" s="85" t="s">
        <v>1598</v>
      </c>
      <c r="E1242" s="85" t="s">
        <v>203</v>
      </c>
      <c r="F1242" s="85" t="s">
        <v>1071</v>
      </c>
      <c r="G1242" s="90">
        <f>G1243+G1244</f>
        <v>139659</v>
      </c>
      <c r="H1242" s="90">
        <f>H1244</f>
        <v>146132</v>
      </c>
      <c r="I1242" s="422">
        <f>I1244</f>
        <v>146132</v>
      </c>
      <c r="J1242" s="203">
        <f t="shared" si="118"/>
        <v>104.63486062480756</v>
      </c>
      <c r="K1242" s="433">
        <f t="shared" si="120"/>
        <v>100</v>
      </c>
    </row>
    <row r="1243" spans="1:11" ht="24">
      <c r="A1243" s="92" t="s">
        <v>878</v>
      </c>
      <c r="B1243" s="82" t="s">
        <v>892</v>
      </c>
      <c r="C1243" s="85" t="s">
        <v>1764</v>
      </c>
      <c r="D1243" s="85" t="s">
        <v>1598</v>
      </c>
      <c r="E1243" s="85" t="s">
        <v>203</v>
      </c>
      <c r="F1243" s="85" t="s">
        <v>893</v>
      </c>
      <c r="G1243" s="90">
        <v>139659</v>
      </c>
      <c r="H1243" s="90"/>
      <c r="I1243" s="422"/>
      <c r="J1243" s="203">
        <f t="shared" si="118"/>
        <v>0</v>
      </c>
      <c r="K1243" s="433"/>
    </row>
    <row r="1244" spans="1:11" ht="36">
      <c r="A1244" s="92" t="s">
        <v>556</v>
      </c>
      <c r="B1244" s="82" t="s">
        <v>892</v>
      </c>
      <c r="C1244" s="85" t="s">
        <v>1764</v>
      </c>
      <c r="D1244" s="85" t="s">
        <v>1598</v>
      </c>
      <c r="E1244" s="85" t="s">
        <v>203</v>
      </c>
      <c r="F1244" s="85" t="s">
        <v>557</v>
      </c>
      <c r="G1244" s="90"/>
      <c r="H1244" s="90">
        <f>139659+6473</f>
        <v>146132</v>
      </c>
      <c r="I1244" s="422">
        <v>146132</v>
      </c>
      <c r="J1244" s="203"/>
      <c r="K1244" s="433">
        <f>I1244/H1244*100</f>
        <v>100</v>
      </c>
    </row>
    <row r="1245" spans="1:11" ht="25.5">
      <c r="A1245" s="79" t="s">
        <v>772</v>
      </c>
      <c r="B1245" s="80" t="s">
        <v>893</v>
      </c>
      <c r="C1245" s="80"/>
      <c r="D1245" s="80"/>
      <c r="E1245" s="80"/>
      <c r="F1245" s="80"/>
      <c r="G1245" s="81">
        <f>G1246</f>
        <v>14876.900000000001</v>
      </c>
      <c r="H1245" s="81">
        <f>H1246</f>
        <v>19554.2</v>
      </c>
      <c r="I1245" s="430">
        <f>I1246</f>
        <v>16776.1</v>
      </c>
      <c r="J1245" s="418">
        <f>I1245/G1245*100</f>
        <v>112.76610046447846</v>
      </c>
      <c r="K1245" s="435">
        <f>I1245/H1245*100</f>
        <v>85.79282200243425</v>
      </c>
    </row>
    <row r="1246" spans="1:11" ht="15">
      <c r="A1246" s="371" t="s">
        <v>140</v>
      </c>
      <c r="B1246" s="82" t="s">
        <v>893</v>
      </c>
      <c r="C1246" s="85" t="s">
        <v>141</v>
      </c>
      <c r="D1246" s="85"/>
      <c r="E1246" s="85"/>
      <c r="F1246" s="85"/>
      <c r="G1246" s="90">
        <f>G1247+G1253+G1264</f>
        <v>14876.900000000001</v>
      </c>
      <c r="H1246" s="90">
        <f>H1247+H1253+H1264</f>
        <v>19554.2</v>
      </c>
      <c r="I1246" s="422">
        <f>I1247+I1253+I1264</f>
        <v>16776.1</v>
      </c>
      <c r="J1246" s="203">
        <f aca="true" t="shared" si="123" ref="J1246:J1262">I1246/G1246*100</f>
        <v>112.76610046447846</v>
      </c>
      <c r="K1246" s="433">
        <f aca="true" t="shared" si="124" ref="K1246:K1263">I1246/H1246*100</f>
        <v>85.79282200243425</v>
      </c>
    </row>
    <row r="1247" spans="1:11" ht="24">
      <c r="A1247" s="347" t="s">
        <v>1521</v>
      </c>
      <c r="B1247" s="82" t="s">
        <v>893</v>
      </c>
      <c r="C1247" s="85" t="s">
        <v>141</v>
      </c>
      <c r="D1247" s="83" t="s">
        <v>142</v>
      </c>
      <c r="E1247" s="85"/>
      <c r="F1247" s="85"/>
      <c r="G1247" s="90">
        <f aca="true" t="shared" si="125" ref="G1247:I1248">G1248</f>
        <v>2883.8</v>
      </c>
      <c r="H1247" s="90">
        <f t="shared" si="125"/>
        <v>2619.7</v>
      </c>
      <c r="I1247" s="422">
        <f t="shared" si="125"/>
        <v>2280.6000000000004</v>
      </c>
      <c r="J1247" s="203">
        <f t="shared" si="123"/>
        <v>79.08315417157917</v>
      </c>
      <c r="K1247" s="433">
        <f t="shared" si="124"/>
        <v>87.05576974462727</v>
      </c>
    </row>
    <row r="1248" spans="1:11" ht="36">
      <c r="A1248" s="93" t="s">
        <v>143</v>
      </c>
      <c r="B1248" s="82" t="s">
        <v>893</v>
      </c>
      <c r="C1248" s="83" t="s">
        <v>141</v>
      </c>
      <c r="D1248" s="83" t="s">
        <v>142</v>
      </c>
      <c r="E1248" s="85" t="s">
        <v>144</v>
      </c>
      <c r="F1248" s="83"/>
      <c r="G1248" s="90">
        <f t="shared" si="125"/>
        <v>2883.8</v>
      </c>
      <c r="H1248" s="90">
        <f t="shared" si="125"/>
        <v>2619.7</v>
      </c>
      <c r="I1248" s="422">
        <f t="shared" si="125"/>
        <v>2280.6000000000004</v>
      </c>
      <c r="J1248" s="203">
        <f t="shared" si="123"/>
        <v>79.08315417157917</v>
      </c>
      <c r="K1248" s="433">
        <f t="shared" si="124"/>
        <v>87.05576974462727</v>
      </c>
    </row>
    <row r="1249" spans="1:11" ht="24">
      <c r="A1249" s="348" t="s">
        <v>145</v>
      </c>
      <c r="B1249" s="82" t="s">
        <v>893</v>
      </c>
      <c r="C1249" s="83" t="s">
        <v>141</v>
      </c>
      <c r="D1249" s="83" t="s">
        <v>142</v>
      </c>
      <c r="E1249" s="85" t="s">
        <v>146</v>
      </c>
      <c r="F1249" s="83" t="s">
        <v>1071</v>
      </c>
      <c r="G1249" s="90">
        <f>G1250+G1251+G1252</f>
        <v>2883.8</v>
      </c>
      <c r="H1249" s="90">
        <f>H1250+H1251</f>
        <v>2619.7</v>
      </c>
      <c r="I1249" s="422">
        <f>I1250+I1251</f>
        <v>2280.6000000000004</v>
      </c>
      <c r="J1249" s="203">
        <f t="shared" si="123"/>
        <v>79.08315417157917</v>
      </c>
      <c r="K1249" s="433">
        <f t="shared" si="124"/>
        <v>87.05576974462727</v>
      </c>
    </row>
    <row r="1250" spans="1:11" ht="24">
      <c r="A1250" s="348" t="s">
        <v>171</v>
      </c>
      <c r="B1250" s="82" t="s">
        <v>893</v>
      </c>
      <c r="C1250" s="83" t="s">
        <v>141</v>
      </c>
      <c r="D1250" s="83" t="s">
        <v>142</v>
      </c>
      <c r="E1250" s="85" t="s">
        <v>146</v>
      </c>
      <c r="F1250" s="83" t="s">
        <v>1833</v>
      </c>
      <c r="G1250" s="90"/>
      <c r="H1250" s="90">
        <f>2762-202.8-61.3</f>
        <v>2497.8999999999996</v>
      </c>
      <c r="I1250" s="422">
        <v>2158.8</v>
      </c>
      <c r="J1250" s="203"/>
      <c r="K1250" s="433">
        <f t="shared" si="124"/>
        <v>86.42459666119542</v>
      </c>
    </row>
    <row r="1251" spans="1:11" ht="24">
      <c r="A1251" s="348" t="s">
        <v>1834</v>
      </c>
      <c r="B1251" s="82" t="s">
        <v>893</v>
      </c>
      <c r="C1251" s="83" t="s">
        <v>141</v>
      </c>
      <c r="D1251" s="83" t="s">
        <v>142</v>
      </c>
      <c r="E1251" s="85" t="s">
        <v>146</v>
      </c>
      <c r="F1251" s="83" t="s">
        <v>1835</v>
      </c>
      <c r="G1251" s="90"/>
      <c r="H1251" s="90">
        <v>121.8</v>
      </c>
      <c r="I1251" s="422">
        <v>121.8</v>
      </c>
      <c r="J1251" s="203"/>
      <c r="K1251" s="433">
        <f t="shared" si="124"/>
        <v>100</v>
      </c>
    </row>
    <row r="1252" spans="1:11" ht="24">
      <c r="A1252" s="87" t="s">
        <v>1597</v>
      </c>
      <c r="B1252" s="82" t="s">
        <v>893</v>
      </c>
      <c r="C1252" s="83" t="s">
        <v>141</v>
      </c>
      <c r="D1252" s="83" t="s">
        <v>142</v>
      </c>
      <c r="E1252" s="85" t="s">
        <v>146</v>
      </c>
      <c r="F1252" s="83" t="s">
        <v>436</v>
      </c>
      <c r="G1252" s="90">
        <v>2883.8</v>
      </c>
      <c r="H1252" s="90"/>
      <c r="I1252" s="422"/>
      <c r="J1252" s="203">
        <f t="shared" si="123"/>
        <v>0</v>
      </c>
      <c r="K1252" s="433"/>
    </row>
    <row r="1253" spans="1:11" ht="36">
      <c r="A1253" s="91" t="s">
        <v>1523</v>
      </c>
      <c r="B1253" s="82" t="s">
        <v>893</v>
      </c>
      <c r="C1253" s="85" t="s">
        <v>141</v>
      </c>
      <c r="D1253" s="85" t="s">
        <v>1598</v>
      </c>
      <c r="E1253" s="85"/>
      <c r="F1253" s="85"/>
      <c r="G1253" s="90">
        <f>G1254</f>
        <v>11993.1</v>
      </c>
      <c r="H1253" s="90">
        <f>H1254</f>
        <v>16934.5</v>
      </c>
      <c r="I1253" s="422">
        <f>I1254</f>
        <v>14495.5</v>
      </c>
      <c r="J1253" s="203">
        <f t="shared" si="123"/>
        <v>120.86533089860004</v>
      </c>
      <c r="K1253" s="433">
        <f t="shared" si="124"/>
        <v>85.59744899465588</v>
      </c>
    </row>
    <row r="1254" spans="1:11" ht="36">
      <c r="A1254" s="93" t="s">
        <v>143</v>
      </c>
      <c r="B1254" s="82" t="s">
        <v>893</v>
      </c>
      <c r="C1254" s="85" t="s">
        <v>141</v>
      </c>
      <c r="D1254" s="85" t="s">
        <v>1598</v>
      </c>
      <c r="E1254" s="85" t="s">
        <v>144</v>
      </c>
      <c r="F1254" s="85"/>
      <c r="G1254" s="90">
        <f>G1255+G1261</f>
        <v>11993.1</v>
      </c>
      <c r="H1254" s="90">
        <f>H1255+H1261</f>
        <v>16934.5</v>
      </c>
      <c r="I1254" s="422">
        <f>I1255+I1261</f>
        <v>14495.5</v>
      </c>
      <c r="J1254" s="203">
        <f t="shared" si="123"/>
        <v>120.86533089860004</v>
      </c>
      <c r="K1254" s="433">
        <f t="shared" si="124"/>
        <v>85.59744899465588</v>
      </c>
    </row>
    <row r="1255" spans="1:11" ht="24">
      <c r="A1255" s="87" t="s">
        <v>1599</v>
      </c>
      <c r="B1255" s="82" t="s">
        <v>893</v>
      </c>
      <c r="C1255" s="85" t="s">
        <v>141</v>
      </c>
      <c r="D1255" s="85" t="s">
        <v>1598</v>
      </c>
      <c r="E1255" s="85" t="s">
        <v>1884</v>
      </c>
      <c r="F1255" s="85" t="s">
        <v>1071</v>
      </c>
      <c r="G1255" s="90">
        <f>G1256+G1257+G1258+G1259+G1260</f>
        <v>11971.1</v>
      </c>
      <c r="H1255" s="90">
        <f>H1256+H1257+H1258+H1259+H1260</f>
        <v>16912.5</v>
      </c>
      <c r="I1255" s="422">
        <f>I1256+I1257+I1258+I1259+I1260</f>
        <v>14489</v>
      </c>
      <c r="J1255" s="203">
        <f t="shared" si="123"/>
        <v>121.0331548479254</v>
      </c>
      <c r="K1255" s="433">
        <f t="shared" si="124"/>
        <v>85.67036215816704</v>
      </c>
    </row>
    <row r="1256" spans="1:11" ht="24">
      <c r="A1256" s="348" t="s">
        <v>1832</v>
      </c>
      <c r="B1256" s="82" t="s">
        <v>893</v>
      </c>
      <c r="C1256" s="85" t="s">
        <v>141</v>
      </c>
      <c r="D1256" s="85" t="s">
        <v>1598</v>
      </c>
      <c r="E1256" s="85" t="s">
        <v>1884</v>
      </c>
      <c r="F1256" s="85" t="s">
        <v>1833</v>
      </c>
      <c r="G1256" s="90"/>
      <c r="H1256" s="90">
        <v>15671.2</v>
      </c>
      <c r="I1256" s="422">
        <v>13293</v>
      </c>
      <c r="J1256" s="203"/>
      <c r="K1256" s="433">
        <f t="shared" si="124"/>
        <v>84.82439123998162</v>
      </c>
    </row>
    <row r="1257" spans="1:11" ht="24">
      <c r="A1257" s="348" t="s">
        <v>1834</v>
      </c>
      <c r="B1257" s="82" t="s">
        <v>893</v>
      </c>
      <c r="C1257" s="85" t="s">
        <v>141</v>
      </c>
      <c r="D1257" s="85" t="s">
        <v>1598</v>
      </c>
      <c r="E1257" s="85" t="s">
        <v>1884</v>
      </c>
      <c r="F1257" s="85" t="s">
        <v>1835</v>
      </c>
      <c r="G1257" s="90"/>
      <c r="H1257" s="90">
        <v>1</v>
      </c>
      <c r="I1257" s="422">
        <v>0.5</v>
      </c>
      <c r="J1257" s="203"/>
      <c r="K1257" s="433">
        <f t="shared" si="124"/>
        <v>50</v>
      </c>
    </row>
    <row r="1258" spans="1:11" ht="24">
      <c r="A1258" s="348" t="s">
        <v>1836</v>
      </c>
      <c r="B1258" s="82" t="s">
        <v>893</v>
      </c>
      <c r="C1258" s="85" t="s">
        <v>141</v>
      </c>
      <c r="D1258" s="85" t="s">
        <v>1598</v>
      </c>
      <c r="E1258" s="85" t="s">
        <v>1884</v>
      </c>
      <c r="F1258" s="85" t="s">
        <v>1837</v>
      </c>
      <c r="G1258" s="90"/>
      <c r="H1258" s="90">
        <v>1185.3</v>
      </c>
      <c r="I1258" s="422">
        <v>1141.2</v>
      </c>
      <c r="J1258" s="203"/>
      <c r="K1258" s="433">
        <f t="shared" si="124"/>
        <v>96.27942293090358</v>
      </c>
    </row>
    <row r="1259" spans="1:11" ht="24">
      <c r="A1259" s="87" t="s">
        <v>1597</v>
      </c>
      <c r="B1259" s="82" t="s">
        <v>893</v>
      </c>
      <c r="C1259" s="85" t="s">
        <v>141</v>
      </c>
      <c r="D1259" s="85" t="s">
        <v>1598</v>
      </c>
      <c r="E1259" s="85" t="s">
        <v>1884</v>
      </c>
      <c r="F1259" s="85" t="s">
        <v>436</v>
      </c>
      <c r="G1259" s="90">
        <v>11971.1</v>
      </c>
      <c r="H1259" s="90">
        <v>0</v>
      </c>
      <c r="I1259" s="422">
        <v>0</v>
      </c>
      <c r="J1259" s="203">
        <f t="shared" si="123"/>
        <v>0</v>
      </c>
      <c r="K1259" s="433"/>
    </row>
    <row r="1260" spans="1:11" ht="24">
      <c r="A1260" s="87" t="s">
        <v>1838</v>
      </c>
      <c r="B1260" s="82" t="s">
        <v>893</v>
      </c>
      <c r="C1260" s="85" t="s">
        <v>141</v>
      </c>
      <c r="D1260" s="85" t="s">
        <v>1598</v>
      </c>
      <c r="E1260" s="85" t="s">
        <v>1884</v>
      </c>
      <c r="F1260" s="85" t="s">
        <v>1839</v>
      </c>
      <c r="G1260" s="90"/>
      <c r="H1260" s="90">
        <v>55</v>
      </c>
      <c r="I1260" s="422">
        <v>54.3</v>
      </c>
      <c r="J1260" s="203"/>
      <c r="K1260" s="433">
        <f t="shared" si="124"/>
        <v>98.72727272727272</v>
      </c>
    </row>
    <row r="1261" spans="1:11" ht="24">
      <c r="A1261" s="349" t="s">
        <v>1840</v>
      </c>
      <c r="B1261" s="82" t="s">
        <v>893</v>
      </c>
      <c r="C1261" s="85" t="s">
        <v>141</v>
      </c>
      <c r="D1261" s="85" t="s">
        <v>1598</v>
      </c>
      <c r="E1261" s="85" t="s">
        <v>1841</v>
      </c>
      <c r="F1261" s="85" t="s">
        <v>1071</v>
      </c>
      <c r="G1261" s="90">
        <f>G1262+G1263</f>
        <v>22</v>
      </c>
      <c r="H1261" s="90">
        <f>H1263</f>
        <v>22</v>
      </c>
      <c r="I1261" s="422">
        <f>I1263</f>
        <v>6.5</v>
      </c>
      <c r="J1261" s="203">
        <f t="shared" si="123"/>
        <v>29.545454545454547</v>
      </c>
      <c r="K1261" s="433">
        <f t="shared" si="124"/>
        <v>29.545454545454547</v>
      </c>
    </row>
    <row r="1262" spans="1:11" ht="24">
      <c r="A1262" s="87" t="s">
        <v>1597</v>
      </c>
      <c r="B1262" s="82" t="s">
        <v>893</v>
      </c>
      <c r="C1262" s="85" t="s">
        <v>141</v>
      </c>
      <c r="D1262" s="85" t="s">
        <v>1598</v>
      </c>
      <c r="E1262" s="85" t="s">
        <v>1841</v>
      </c>
      <c r="F1262" s="85" t="s">
        <v>436</v>
      </c>
      <c r="G1262" s="90">
        <v>22</v>
      </c>
      <c r="H1262" s="90"/>
      <c r="I1262" s="422"/>
      <c r="J1262" s="203">
        <f t="shared" si="123"/>
        <v>0</v>
      </c>
      <c r="K1262" s="433"/>
    </row>
    <row r="1263" spans="1:11" ht="24">
      <c r="A1263" s="349" t="s">
        <v>1840</v>
      </c>
      <c r="B1263" s="82" t="s">
        <v>893</v>
      </c>
      <c r="C1263" s="85" t="s">
        <v>141</v>
      </c>
      <c r="D1263" s="85" t="s">
        <v>1598</v>
      </c>
      <c r="E1263" s="85" t="s">
        <v>1841</v>
      </c>
      <c r="F1263" s="85" t="s">
        <v>1842</v>
      </c>
      <c r="G1263" s="90"/>
      <c r="H1263" s="90">
        <v>22</v>
      </c>
      <c r="I1263" s="422">
        <v>6.5</v>
      </c>
      <c r="J1263" s="203"/>
      <c r="K1263" s="433">
        <f t="shared" si="124"/>
        <v>29.545454545454547</v>
      </c>
    </row>
    <row r="1264" spans="1:11" ht="36" hidden="1">
      <c r="A1264" s="91" t="s">
        <v>582</v>
      </c>
      <c r="B1264" s="82" t="s">
        <v>893</v>
      </c>
      <c r="C1264" s="85" t="s">
        <v>141</v>
      </c>
      <c r="D1264" s="85" t="s">
        <v>583</v>
      </c>
      <c r="E1264" s="85"/>
      <c r="F1264" s="85"/>
      <c r="G1264" s="90">
        <f aca="true" t="shared" si="126" ref="G1264:I1265">G1265</f>
        <v>0</v>
      </c>
      <c r="H1264" s="90">
        <f t="shared" si="126"/>
        <v>0</v>
      </c>
      <c r="I1264" s="422">
        <f t="shared" si="126"/>
        <v>0</v>
      </c>
      <c r="J1264" s="254"/>
      <c r="K1264" s="436"/>
    </row>
    <row r="1265" spans="1:11" ht="15.75" hidden="1">
      <c r="A1265" s="87" t="s">
        <v>1599</v>
      </c>
      <c r="B1265" s="82" t="s">
        <v>893</v>
      </c>
      <c r="C1265" s="85" t="s">
        <v>141</v>
      </c>
      <c r="D1265" s="85" t="s">
        <v>583</v>
      </c>
      <c r="E1265" s="85" t="s">
        <v>1884</v>
      </c>
      <c r="F1265" s="85" t="s">
        <v>1071</v>
      </c>
      <c r="G1265" s="90">
        <f t="shared" si="126"/>
        <v>0</v>
      </c>
      <c r="H1265" s="90">
        <f t="shared" si="126"/>
        <v>0</v>
      </c>
      <c r="I1265" s="422">
        <f t="shared" si="126"/>
        <v>0</v>
      </c>
      <c r="J1265" s="254"/>
      <c r="K1265" s="436"/>
    </row>
    <row r="1266" spans="1:11" ht="15.75" hidden="1">
      <c r="A1266" s="87" t="s">
        <v>1597</v>
      </c>
      <c r="B1266" s="82" t="s">
        <v>893</v>
      </c>
      <c r="C1266" s="85" t="s">
        <v>141</v>
      </c>
      <c r="D1266" s="85" t="s">
        <v>583</v>
      </c>
      <c r="E1266" s="85" t="s">
        <v>1884</v>
      </c>
      <c r="F1266" s="85" t="s">
        <v>436</v>
      </c>
      <c r="G1266" s="90"/>
      <c r="H1266" s="90">
        <f>3032-3032</f>
        <v>0</v>
      </c>
      <c r="I1266" s="422">
        <f>3032-3032</f>
        <v>0</v>
      </c>
      <c r="J1266" s="254"/>
      <c r="K1266" s="436"/>
    </row>
    <row r="1267" spans="1:11" ht="15.75" hidden="1">
      <c r="A1267" s="96" t="s">
        <v>166</v>
      </c>
      <c r="B1267" s="82" t="s">
        <v>893</v>
      </c>
      <c r="C1267" s="85" t="s">
        <v>589</v>
      </c>
      <c r="D1267" s="85" t="s">
        <v>1603</v>
      </c>
      <c r="E1267" s="85"/>
      <c r="F1267" s="85"/>
      <c r="G1267" s="90">
        <f aca="true" t="shared" si="127" ref="G1267:I1269">G1268</f>
        <v>0</v>
      </c>
      <c r="H1267" s="90">
        <f t="shared" si="127"/>
        <v>0</v>
      </c>
      <c r="I1267" s="422">
        <f t="shared" si="127"/>
        <v>0</v>
      </c>
      <c r="J1267" s="254"/>
      <c r="K1267" s="436"/>
    </row>
    <row r="1268" spans="1:11" ht="24" hidden="1">
      <c r="A1268" s="117" t="s">
        <v>759</v>
      </c>
      <c r="B1268" s="82" t="s">
        <v>893</v>
      </c>
      <c r="C1268" s="85" t="s">
        <v>589</v>
      </c>
      <c r="D1268" s="85" t="s">
        <v>1603</v>
      </c>
      <c r="E1268" s="85" t="s">
        <v>773</v>
      </c>
      <c r="F1268" s="85"/>
      <c r="G1268" s="90">
        <f t="shared" si="127"/>
        <v>0</v>
      </c>
      <c r="H1268" s="90">
        <f t="shared" si="127"/>
        <v>0</v>
      </c>
      <c r="I1268" s="422">
        <f t="shared" si="127"/>
        <v>0</v>
      </c>
      <c r="J1268" s="254"/>
      <c r="K1268" s="436"/>
    </row>
    <row r="1269" spans="1:11" ht="24" hidden="1">
      <c r="A1269" s="87" t="s">
        <v>44</v>
      </c>
      <c r="B1269" s="82" t="s">
        <v>893</v>
      </c>
      <c r="C1269" s="85" t="s">
        <v>589</v>
      </c>
      <c r="D1269" s="85" t="s">
        <v>1603</v>
      </c>
      <c r="E1269" s="85" t="s">
        <v>774</v>
      </c>
      <c r="F1269" s="85" t="s">
        <v>1071</v>
      </c>
      <c r="G1269" s="90">
        <f t="shared" si="127"/>
        <v>0</v>
      </c>
      <c r="H1269" s="90">
        <f t="shared" si="127"/>
        <v>0</v>
      </c>
      <c r="I1269" s="422">
        <f t="shared" si="127"/>
        <v>0</v>
      </c>
      <c r="J1269" s="254"/>
      <c r="K1269" s="436"/>
    </row>
    <row r="1270" spans="1:11" ht="15.75" hidden="1">
      <c r="A1270" s="87" t="s">
        <v>924</v>
      </c>
      <c r="B1270" s="82" t="s">
        <v>893</v>
      </c>
      <c r="C1270" s="85" t="s">
        <v>589</v>
      </c>
      <c r="D1270" s="85" t="s">
        <v>1603</v>
      </c>
      <c r="E1270" s="85" t="s">
        <v>774</v>
      </c>
      <c r="F1270" s="85" t="s">
        <v>1881</v>
      </c>
      <c r="G1270" s="90"/>
      <c r="H1270" s="90"/>
      <c r="I1270" s="422"/>
      <c r="J1270" s="254"/>
      <c r="K1270" s="436"/>
    </row>
    <row r="1271" spans="1:11" ht="25.5">
      <c r="A1271" s="79" t="s">
        <v>571</v>
      </c>
      <c r="B1271" s="80" t="s">
        <v>926</v>
      </c>
      <c r="C1271" s="82"/>
      <c r="D1271" s="82"/>
      <c r="E1271" s="82"/>
      <c r="F1271" s="82"/>
      <c r="G1271" s="81">
        <f aca="true" t="shared" si="128" ref="G1271:I1273">G1272</f>
        <v>3949.8</v>
      </c>
      <c r="H1271" s="81">
        <f t="shared" si="128"/>
        <v>4003.7</v>
      </c>
      <c r="I1271" s="430">
        <f t="shared" si="128"/>
        <v>3662.7</v>
      </c>
      <c r="J1271" s="418">
        <f>I1271/G1271*100</f>
        <v>92.73127753303963</v>
      </c>
      <c r="K1271" s="435">
        <f>I1271/H1271*100</f>
        <v>91.48287833753777</v>
      </c>
    </row>
    <row r="1272" spans="1:11" ht="15">
      <c r="A1272" s="371" t="s">
        <v>140</v>
      </c>
      <c r="B1272" s="82" t="s">
        <v>926</v>
      </c>
      <c r="C1272" s="85" t="s">
        <v>141</v>
      </c>
      <c r="D1272" s="85"/>
      <c r="E1272" s="85"/>
      <c r="F1272" s="85"/>
      <c r="G1272" s="90">
        <f t="shared" si="128"/>
        <v>3949.8</v>
      </c>
      <c r="H1272" s="90">
        <f t="shared" si="128"/>
        <v>4003.7</v>
      </c>
      <c r="I1272" s="422">
        <f t="shared" si="128"/>
        <v>3662.7</v>
      </c>
      <c r="J1272" s="203">
        <f>I1272/G1272*100</f>
        <v>92.73127753303963</v>
      </c>
      <c r="K1272" s="433">
        <f aca="true" t="shared" si="129" ref="K1272:K1278">I1272/H1272*100</f>
        <v>91.48287833753777</v>
      </c>
    </row>
    <row r="1273" spans="1:11" ht="36">
      <c r="A1273" s="91" t="s">
        <v>582</v>
      </c>
      <c r="B1273" s="82" t="s">
        <v>926</v>
      </c>
      <c r="C1273" s="85" t="s">
        <v>141</v>
      </c>
      <c r="D1273" s="85" t="s">
        <v>583</v>
      </c>
      <c r="E1273" s="85"/>
      <c r="F1273" s="85"/>
      <c r="G1273" s="90">
        <f t="shared" si="128"/>
        <v>3949.8</v>
      </c>
      <c r="H1273" s="90">
        <f t="shared" si="128"/>
        <v>4003.7</v>
      </c>
      <c r="I1273" s="422">
        <f t="shared" si="128"/>
        <v>3662.7</v>
      </c>
      <c r="J1273" s="203">
        <f>I1273/G1273*100</f>
        <v>92.73127753303963</v>
      </c>
      <c r="K1273" s="433">
        <f t="shared" si="129"/>
        <v>91.48287833753777</v>
      </c>
    </row>
    <row r="1274" spans="1:11" ht="24">
      <c r="A1274" s="87" t="s">
        <v>1599</v>
      </c>
      <c r="B1274" s="82" t="s">
        <v>926</v>
      </c>
      <c r="C1274" s="85" t="s">
        <v>141</v>
      </c>
      <c r="D1274" s="85" t="s">
        <v>583</v>
      </c>
      <c r="E1274" s="85" t="s">
        <v>1884</v>
      </c>
      <c r="F1274" s="85" t="s">
        <v>1071</v>
      </c>
      <c r="G1274" s="90">
        <f>G1275+G1276+G1277+G1278</f>
        <v>3949.8</v>
      </c>
      <c r="H1274" s="90">
        <f>H1275+H1276+H1278</f>
        <v>4003.7</v>
      </c>
      <c r="I1274" s="422">
        <f>I1275+I1276+I1278</f>
        <v>3662.7</v>
      </c>
      <c r="J1274" s="203">
        <f>I1274/G1274*100</f>
        <v>92.73127753303963</v>
      </c>
      <c r="K1274" s="433">
        <f t="shared" si="129"/>
        <v>91.48287833753777</v>
      </c>
    </row>
    <row r="1275" spans="1:11" ht="24">
      <c r="A1275" s="348" t="s">
        <v>1832</v>
      </c>
      <c r="B1275" s="82" t="s">
        <v>926</v>
      </c>
      <c r="C1275" s="85" t="s">
        <v>141</v>
      </c>
      <c r="D1275" s="85" t="s">
        <v>583</v>
      </c>
      <c r="E1275" s="85" t="s">
        <v>1884</v>
      </c>
      <c r="F1275" s="85" t="s">
        <v>1833</v>
      </c>
      <c r="G1275" s="90"/>
      <c r="H1275" s="90">
        <f>3590.6+53.9</f>
        <v>3644.5</v>
      </c>
      <c r="I1275" s="422">
        <v>3369.5</v>
      </c>
      <c r="J1275" s="203"/>
      <c r="K1275" s="433">
        <f t="shared" si="129"/>
        <v>92.45438331732748</v>
      </c>
    </row>
    <row r="1276" spans="1:11" ht="24">
      <c r="A1276" s="348" t="s">
        <v>1836</v>
      </c>
      <c r="B1276" s="82" t="s">
        <v>926</v>
      </c>
      <c r="C1276" s="85" t="s">
        <v>141</v>
      </c>
      <c r="D1276" s="85" t="s">
        <v>583</v>
      </c>
      <c r="E1276" s="85" t="s">
        <v>1884</v>
      </c>
      <c r="F1276" s="85" t="s">
        <v>1837</v>
      </c>
      <c r="G1276" s="90"/>
      <c r="H1276" s="90">
        <v>329.2</v>
      </c>
      <c r="I1276" s="422">
        <v>263.2</v>
      </c>
      <c r="J1276" s="203"/>
      <c r="K1276" s="433">
        <f t="shared" si="129"/>
        <v>79.95139732685298</v>
      </c>
    </row>
    <row r="1277" spans="1:11" ht="24">
      <c r="A1277" s="358" t="s">
        <v>1597</v>
      </c>
      <c r="B1277" s="82" t="s">
        <v>926</v>
      </c>
      <c r="C1277" s="85" t="s">
        <v>141</v>
      </c>
      <c r="D1277" s="85" t="s">
        <v>583</v>
      </c>
      <c r="E1277" s="85" t="s">
        <v>1884</v>
      </c>
      <c r="F1277" s="85" t="s">
        <v>436</v>
      </c>
      <c r="G1277" s="90">
        <v>3949.8</v>
      </c>
      <c r="H1277" s="90"/>
      <c r="I1277" s="422"/>
      <c r="J1277" s="203"/>
      <c r="K1277" s="433"/>
    </row>
    <row r="1278" spans="1:11" ht="24">
      <c r="A1278" s="87" t="s">
        <v>1838</v>
      </c>
      <c r="B1278" s="82" t="s">
        <v>926</v>
      </c>
      <c r="C1278" s="85" t="s">
        <v>141</v>
      </c>
      <c r="D1278" s="85" t="s">
        <v>583</v>
      </c>
      <c r="E1278" s="85" t="s">
        <v>1884</v>
      </c>
      <c r="F1278" s="85" t="s">
        <v>1839</v>
      </c>
      <c r="G1278" s="90"/>
      <c r="H1278" s="90">
        <v>30</v>
      </c>
      <c r="I1278" s="422">
        <v>30</v>
      </c>
      <c r="J1278" s="203"/>
      <c r="K1278" s="433">
        <f t="shared" si="129"/>
        <v>100</v>
      </c>
    </row>
    <row r="1279" spans="1:11" ht="25.5">
      <c r="A1279" s="79" t="s">
        <v>115</v>
      </c>
      <c r="B1279" s="80" t="s">
        <v>116</v>
      </c>
      <c r="C1279" s="80"/>
      <c r="D1279" s="80"/>
      <c r="E1279" s="80"/>
      <c r="F1279" s="80"/>
      <c r="G1279" s="81">
        <f>G1280</f>
        <v>19587</v>
      </c>
      <c r="H1279" s="81">
        <f>H1280</f>
        <v>19892.699999999997</v>
      </c>
      <c r="I1279" s="430">
        <f>I1280</f>
        <v>18083.3</v>
      </c>
      <c r="J1279" s="418">
        <f>I1279/G1279*100</f>
        <v>92.32296931638331</v>
      </c>
      <c r="K1279" s="435">
        <f>I1279/H1279*100</f>
        <v>90.90420103857195</v>
      </c>
    </row>
    <row r="1280" spans="1:11" ht="15">
      <c r="A1280" s="371" t="s">
        <v>140</v>
      </c>
      <c r="B1280" s="82" t="s">
        <v>116</v>
      </c>
      <c r="C1280" s="85" t="s">
        <v>141</v>
      </c>
      <c r="D1280" s="85"/>
      <c r="E1280" s="85"/>
      <c r="F1280" s="85"/>
      <c r="G1280" s="90">
        <f>G1287</f>
        <v>19587</v>
      </c>
      <c r="H1280" s="90">
        <f>H1287</f>
        <v>19892.699999999997</v>
      </c>
      <c r="I1280" s="422">
        <f>I1287</f>
        <v>18083.3</v>
      </c>
      <c r="J1280" s="203">
        <f aca="true" t="shared" si="130" ref="J1280:J1288">I1280/G1280*100</f>
        <v>92.32296931638331</v>
      </c>
      <c r="K1280" s="433">
        <f aca="true" t="shared" si="131" ref="K1280:K1294">I1280/H1280*100</f>
        <v>90.90420103857195</v>
      </c>
    </row>
    <row r="1281" spans="1:11" ht="15.75" hidden="1">
      <c r="A1281" s="91" t="s">
        <v>1082</v>
      </c>
      <c r="B1281" s="82" t="s">
        <v>116</v>
      </c>
      <c r="C1281" s="85" t="s">
        <v>141</v>
      </c>
      <c r="D1281" s="85" t="s">
        <v>1083</v>
      </c>
      <c r="E1281" s="85"/>
      <c r="F1281" s="85"/>
      <c r="G1281" s="90">
        <f aca="true" t="shared" si="132" ref="G1281:I1283">G1282</f>
        <v>0</v>
      </c>
      <c r="H1281" s="90">
        <f t="shared" si="132"/>
        <v>0</v>
      </c>
      <c r="I1281" s="422">
        <f t="shared" si="132"/>
        <v>1</v>
      </c>
      <c r="J1281" s="203" t="e">
        <f t="shared" si="130"/>
        <v>#DIV/0!</v>
      </c>
      <c r="K1281" s="433" t="e">
        <f t="shared" si="131"/>
        <v>#DIV/0!</v>
      </c>
    </row>
    <row r="1282" spans="1:11" ht="15.75" hidden="1">
      <c r="A1282" s="93" t="s">
        <v>1075</v>
      </c>
      <c r="B1282" s="82" t="s">
        <v>116</v>
      </c>
      <c r="C1282" s="85" t="s">
        <v>141</v>
      </c>
      <c r="D1282" s="85" t="s">
        <v>1083</v>
      </c>
      <c r="E1282" s="85" t="s">
        <v>1076</v>
      </c>
      <c r="F1282" s="85"/>
      <c r="G1282" s="90">
        <f t="shared" si="132"/>
        <v>0</v>
      </c>
      <c r="H1282" s="90">
        <f t="shared" si="132"/>
        <v>0</v>
      </c>
      <c r="I1282" s="422">
        <f t="shared" si="132"/>
        <v>1</v>
      </c>
      <c r="J1282" s="203" t="e">
        <f t="shared" si="130"/>
        <v>#DIV/0!</v>
      </c>
      <c r="K1282" s="433" t="e">
        <f t="shared" si="131"/>
        <v>#DIV/0!</v>
      </c>
    </row>
    <row r="1283" spans="1:11" ht="15.75" hidden="1">
      <c r="A1283" s="87" t="s">
        <v>117</v>
      </c>
      <c r="B1283" s="82" t="s">
        <v>116</v>
      </c>
      <c r="C1283" s="85" t="s">
        <v>141</v>
      </c>
      <c r="D1283" s="85" t="s">
        <v>1083</v>
      </c>
      <c r="E1283" s="85" t="s">
        <v>539</v>
      </c>
      <c r="F1283" s="85" t="s">
        <v>1071</v>
      </c>
      <c r="G1283" s="90">
        <f t="shared" si="132"/>
        <v>0</v>
      </c>
      <c r="H1283" s="90">
        <f t="shared" si="132"/>
        <v>0</v>
      </c>
      <c r="I1283" s="422">
        <f t="shared" si="132"/>
        <v>1</v>
      </c>
      <c r="J1283" s="203" t="e">
        <f t="shared" si="130"/>
        <v>#DIV/0!</v>
      </c>
      <c r="K1283" s="433" t="e">
        <f t="shared" si="131"/>
        <v>#DIV/0!</v>
      </c>
    </row>
    <row r="1284" spans="1:11" ht="15.75" hidden="1">
      <c r="A1284" s="87" t="s">
        <v>118</v>
      </c>
      <c r="B1284" s="82" t="s">
        <v>116</v>
      </c>
      <c r="C1284" s="85" t="s">
        <v>141</v>
      </c>
      <c r="D1284" s="85" t="s">
        <v>1083</v>
      </c>
      <c r="E1284" s="85" t="s">
        <v>539</v>
      </c>
      <c r="F1284" s="85" t="s">
        <v>541</v>
      </c>
      <c r="G1284" s="90">
        <v>0</v>
      </c>
      <c r="H1284" s="90">
        <v>0</v>
      </c>
      <c r="I1284" s="422">
        <v>1</v>
      </c>
      <c r="J1284" s="203" t="e">
        <f t="shared" si="130"/>
        <v>#DIV/0!</v>
      </c>
      <c r="K1284" s="433" t="e">
        <f t="shared" si="131"/>
        <v>#DIV/0!</v>
      </c>
    </row>
    <row r="1285" spans="1:11" ht="24" hidden="1">
      <c r="A1285" s="93" t="s">
        <v>1761</v>
      </c>
      <c r="B1285" s="82" t="s">
        <v>116</v>
      </c>
      <c r="C1285" s="85" t="s">
        <v>141</v>
      </c>
      <c r="D1285" s="85" t="s">
        <v>119</v>
      </c>
      <c r="E1285" s="85" t="s">
        <v>1762</v>
      </c>
      <c r="F1285" s="85"/>
      <c r="G1285" s="90">
        <f>G1286</f>
        <v>0</v>
      </c>
      <c r="H1285" s="90">
        <f>H1286</f>
        <v>0</v>
      </c>
      <c r="I1285" s="422">
        <f>I1286</f>
        <v>0</v>
      </c>
      <c r="J1285" s="203" t="e">
        <f t="shared" si="130"/>
        <v>#DIV/0!</v>
      </c>
      <c r="K1285" s="433" t="e">
        <f t="shared" si="131"/>
        <v>#DIV/0!</v>
      </c>
    </row>
    <row r="1286" spans="1:11" ht="15.75" hidden="1">
      <c r="A1286" s="87" t="s">
        <v>120</v>
      </c>
      <c r="B1286" s="82" t="s">
        <v>116</v>
      </c>
      <c r="C1286" s="85" t="s">
        <v>141</v>
      </c>
      <c r="D1286" s="85" t="s">
        <v>119</v>
      </c>
      <c r="E1286" s="85" t="s">
        <v>1762</v>
      </c>
      <c r="F1286" s="85" t="s">
        <v>121</v>
      </c>
      <c r="G1286" s="90"/>
      <c r="H1286" s="90"/>
      <c r="I1286" s="422"/>
      <c r="J1286" s="203" t="e">
        <f t="shared" si="130"/>
        <v>#DIV/0!</v>
      </c>
      <c r="K1286" s="433" t="e">
        <f t="shared" si="131"/>
        <v>#DIV/0!</v>
      </c>
    </row>
    <row r="1287" spans="1:11" ht="36">
      <c r="A1287" s="91" t="s">
        <v>582</v>
      </c>
      <c r="B1287" s="82" t="s">
        <v>116</v>
      </c>
      <c r="C1287" s="85" t="s">
        <v>141</v>
      </c>
      <c r="D1287" s="85" t="s">
        <v>583</v>
      </c>
      <c r="E1287" s="85"/>
      <c r="F1287" s="85"/>
      <c r="G1287" s="90">
        <f>G1288+G1293</f>
        <v>19587</v>
      </c>
      <c r="H1287" s="90">
        <f>H1288+H1293</f>
        <v>19892.699999999997</v>
      </c>
      <c r="I1287" s="422">
        <f>I1288+I1293</f>
        <v>18083.3</v>
      </c>
      <c r="J1287" s="203">
        <f t="shared" si="130"/>
        <v>92.32296931638331</v>
      </c>
      <c r="K1287" s="433">
        <f t="shared" si="131"/>
        <v>90.90420103857195</v>
      </c>
    </row>
    <row r="1288" spans="1:11" ht="24">
      <c r="A1288" s="87" t="s">
        <v>1599</v>
      </c>
      <c r="B1288" s="82" t="s">
        <v>116</v>
      </c>
      <c r="C1288" s="85" t="s">
        <v>141</v>
      </c>
      <c r="D1288" s="85" t="s">
        <v>583</v>
      </c>
      <c r="E1288" s="85" t="s">
        <v>1884</v>
      </c>
      <c r="F1288" s="85" t="s">
        <v>1071</v>
      </c>
      <c r="G1288" s="90">
        <f>G1289+G1290+G1291+G1292</f>
        <v>19587</v>
      </c>
      <c r="H1288" s="90">
        <f>H1289+H1290+H1291</f>
        <v>19880.199999999997</v>
      </c>
      <c r="I1288" s="422">
        <f>I1289+I1290+I1291</f>
        <v>18080.1</v>
      </c>
      <c r="J1288" s="203">
        <f t="shared" si="130"/>
        <v>92.30663194976259</v>
      </c>
      <c r="K1288" s="433">
        <f t="shared" si="131"/>
        <v>90.9452621200994</v>
      </c>
    </row>
    <row r="1289" spans="1:11" ht="24">
      <c r="A1289" s="348" t="s">
        <v>1832</v>
      </c>
      <c r="B1289" s="82" t="s">
        <v>116</v>
      </c>
      <c r="C1289" s="85" t="s">
        <v>141</v>
      </c>
      <c r="D1289" s="85" t="s">
        <v>583</v>
      </c>
      <c r="E1289" s="85" t="s">
        <v>1884</v>
      </c>
      <c r="F1289" s="85" t="s">
        <v>1833</v>
      </c>
      <c r="G1289" s="90"/>
      <c r="H1289" s="90">
        <f>17538+402.6</f>
        <v>17940.6</v>
      </c>
      <c r="I1289" s="422">
        <v>16758</v>
      </c>
      <c r="J1289" s="203"/>
      <c r="K1289" s="433">
        <f t="shared" si="131"/>
        <v>93.4082472158122</v>
      </c>
    </row>
    <row r="1290" spans="1:11" ht="24">
      <c r="A1290" s="348" t="s">
        <v>1834</v>
      </c>
      <c r="B1290" s="82" t="s">
        <v>116</v>
      </c>
      <c r="C1290" s="85" t="s">
        <v>141</v>
      </c>
      <c r="D1290" s="85" t="s">
        <v>583</v>
      </c>
      <c r="E1290" s="85" t="s">
        <v>1884</v>
      </c>
      <c r="F1290" s="85" t="s">
        <v>1835</v>
      </c>
      <c r="G1290" s="90"/>
      <c r="H1290" s="90">
        <v>3</v>
      </c>
      <c r="I1290" s="422"/>
      <c r="J1290" s="203"/>
      <c r="K1290" s="433">
        <f t="shared" si="131"/>
        <v>0</v>
      </c>
    </row>
    <row r="1291" spans="1:11" ht="24">
      <c r="A1291" s="348" t="s">
        <v>1836</v>
      </c>
      <c r="B1291" s="82" t="s">
        <v>116</v>
      </c>
      <c r="C1291" s="85" t="s">
        <v>141</v>
      </c>
      <c r="D1291" s="85" t="s">
        <v>583</v>
      </c>
      <c r="E1291" s="85" t="s">
        <v>1884</v>
      </c>
      <c r="F1291" s="85" t="s">
        <v>1837</v>
      </c>
      <c r="G1291" s="90"/>
      <c r="H1291" s="90">
        <f>2339.2-402.6</f>
        <v>1936.6</v>
      </c>
      <c r="I1291" s="422">
        <v>1322.1</v>
      </c>
      <c r="J1291" s="203"/>
      <c r="K1291" s="433">
        <f t="shared" si="131"/>
        <v>68.2691314675204</v>
      </c>
    </row>
    <row r="1292" spans="1:11" ht="24">
      <c r="A1292" s="358" t="s">
        <v>1597</v>
      </c>
      <c r="B1292" s="82" t="s">
        <v>116</v>
      </c>
      <c r="C1292" s="85" t="s">
        <v>141</v>
      </c>
      <c r="D1292" s="85" t="s">
        <v>583</v>
      </c>
      <c r="E1292" s="85" t="s">
        <v>1884</v>
      </c>
      <c r="F1292" s="85" t="s">
        <v>436</v>
      </c>
      <c r="G1292" s="90">
        <v>19587</v>
      </c>
      <c r="H1292" s="90"/>
      <c r="I1292" s="422"/>
      <c r="J1292" s="203"/>
      <c r="K1292" s="433"/>
    </row>
    <row r="1293" spans="1:11" ht="24">
      <c r="A1293" s="349" t="s">
        <v>1840</v>
      </c>
      <c r="B1293" s="82" t="s">
        <v>116</v>
      </c>
      <c r="C1293" s="85" t="s">
        <v>141</v>
      </c>
      <c r="D1293" s="85" t="s">
        <v>583</v>
      </c>
      <c r="E1293" s="85" t="s">
        <v>1841</v>
      </c>
      <c r="F1293" s="85" t="s">
        <v>1071</v>
      </c>
      <c r="G1293" s="90">
        <f>G1294</f>
        <v>0</v>
      </c>
      <c r="H1293" s="90">
        <f>H1294</f>
        <v>12.5</v>
      </c>
      <c r="I1293" s="422">
        <f>I1294</f>
        <v>3.2</v>
      </c>
      <c r="J1293" s="203"/>
      <c r="K1293" s="433">
        <f t="shared" si="131"/>
        <v>25.6</v>
      </c>
    </row>
    <row r="1294" spans="1:11" ht="24">
      <c r="A1294" s="349" t="s">
        <v>1840</v>
      </c>
      <c r="B1294" s="82" t="s">
        <v>116</v>
      </c>
      <c r="C1294" s="85" t="s">
        <v>141</v>
      </c>
      <c r="D1294" s="85" t="s">
        <v>583</v>
      </c>
      <c r="E1294" s="85" t="s">
        <v>1841</v>
      </c>
      <c r="F1294" s="85" t="s">
        <v>1842</v>
      </c>
      <c r="G1294" s="90"/>
      <c r="H1294" s="90">
        <v>12.5</v>
      </c>
      <c r="I1294" s="422">
        <v>3.2</v>
      </c>
      <c r="J1294" s="203"/>
      <c r="K1294" s="433">
        <f t="shared" si="131"/>
        <v>25.6</v>
      </c>
    </row>
    <row r="1295" spans="1:11" ht="15.75" hidden="1">
      <c r="A1295" s="88" t="s">
        <v>767</v>
      </c>
      <c r="B1295" s="82" t="s">
        <v>116</v>
      </c>
      <c r="C1295" s="102" t="s">
        <v>1083</v>
      </c>
      <c r="D1295" s="103"/>
      <c r="E1295" s="103"/>
      <c r="F1295" s="103"/>
      <c r="G1295" s="105">
        <f>G1297+G1299</f>
        <v>0</v>
      </c>
      <c r="H1295" s="105">
        <f>H1297+H1299</f>
        <v>0</v>
      </c>
      <c r="I1295" s="432"/>
      <c r="J1295" s="254"/>
      <c r="K1295" s="436"/>
    </row>
    <row r="1296" spans="1:11" ht="24" hidden="1">
      <c r="A1296" s="91" t="s">
        <v>768</v>
      </c>
      <c r="B1296" s="82" t="s">
        <v>116</v>
      </c>
      <c r="C1296" s="102" t="s">
        <v>1083</v>
      </c>
      <c r="D1296" s="102" t="s">
        <v>142</v>
      </c>
      <c r="E1296" s="102"/>
      <c r="F1296" s="102"/>
      <c r="G1296" s="105">
        <f>G1298</f>
        <v>0</v>
      </c>
      <c r="H1296" s="105">
        <f>H1298</f>
        <v>0</v>
      </c>
      <c r="I1296" s="432"/>
      <c r="J1296" s="254"/>
      <c r="K1296" s="436"/>
    </row>
    <row r="1297" spans="1:11" ht="36" hidden="1">
      <c r="A1297" s="93" t="s">
        <v>202</v>
      </c>
      <c r="B1297" s="82" t="s">
        <v>116</v>
      </c>
      <c r="C1297" s="102" t="s">
        <v>1083</v>
      </c>
      <c r="D1297" s="102" t="s">
        <v>142</v>
      </c>
      <c r="E1297" s="102" t="s">
        <v>203</v>
      </c>
      <c r="F1297" s="102"/>
      <c r="G1297" s="105">
        <f>G1298</f>
        <v>0</v>
      </c>
      <c r="H1297" s="105">
        <f>H1298</f>
        <v>0</v>
      </c>
      <c r="I1297" s="432"/>
      <c r="J1297" s="254"/>
      <c r="K1297" s="436"/>
    </row>
    <row r="1298" spans="1:11" ht="15.75" hidden="1">
      <c r="A1298" s="87" t="s">
        <v>204</v>
      </c>
      <c r="B1298" s="82" t="s">
        <v>116</v>
      </c>
      <c r="C1298" s="102" t="s">
        <v>1083</v>
      </c>
      <c r="D1298" s="102" t="s">
        <v>142</v>
      </c>
      <c r="E1298" s="102" t="s">
        <v>203</v>
      </c>
      <c r="F1298" s="102" t="s">
        <v>205</v>
      </c>
      <c r="G1298" s="105">
        <v>0</v>
      </c>
      <c r="H1298" s="105">
        <v>0</v>
      </c>
      <c r="I1298" s="432"/>
      <c r="J1298" s="254"/>
      <c r="K1298" s="436"/>
    </row>
    <row r="1299" spans="1:11" ht="15.75" hidden="1">
      <c r="A1299" s="93" t="s">
        <v>766</v>
      </c>
      <c r="B1299" s="82" t="s">
        <v>116</v>
      </c>
      <c r="C1299" s="85" t="s">
        <v>1083</v>
      </c>
      <c r="D1299" s="85" t="s">
        <v>1603</v>
      </c>
      <c r="E1299" s="85"/>
      <c r="F1299" s="85"/>
      <c r="G1299" s="90">
        <f aca="true" t="shared" si="133" ref="G1299:H1301">G1300</f>
        <v>0</v>
      </c>
      <c r="H1299" s="90">
        <f t="shared" si="133"/>
        <v>0</v>
      </c>
      <c r="I1299" s="432"/>
      <c r="J1299" s="254"/>
      <c r="K1299" s="436"/>
    </row>
    <row r="1300" spans="1:11" ht="15.75" hidden="1">
      <c r="A1300" s="87" t="s">
        <v>765</v>
      </c>
      <c r="B1300" s="82" t="s">
        <v>116</v>
      </c>
      <c r="C1300" s="85" t="s">
        <v>1083</v>
      </c>
      <c r="D1300" s="85" t="s">
        <v>1603</v>
      </c>
      <c r="E1300" s="85" t="s">
        <v>769</v>
      </c>
      <c r="F1300" s="85" t="s">
        <v>1071</v>
      </c>
      <c r="G1300" s="90">
        <f t="shared" si="133"/>
        <v>0</v>
      </c>
      <c r="H1300" s="90">
        <f t="shared" si="133"/>
        <v>0</v>
      </c>
      <c r="I1300" s="432"/>
      <c r="J1300" s="254"/>
      <c r="K1300" s="436"/>
    </row>
    <row r="1301" spans="1:11" ht="15.75" hidden="1">
      <c r="A1301" s="87" t="s">
        <v>770</v>
      </c>
      <c r="B1301" s="82" t="s">
        <v>116</v>
      </c>
      <c r="C1301" s="85" t="s">
        <v>1083</v>
      </c>
      <c r="D1301" s="85" t="s">
        <v>1603</v>
      </c>
      <c r="E1301" s="85" t="s">
        <v>771</v>
      </c>
      <c r="F1301" s="85"/>
      <c r="G1301" s="90">
        <f t="shared" si="133"/>
        <v>0</v>
      </c>
      <c r="H1301" s="90">
        <f t="shared" si="133"/>
        <v>0</v>
      </c>
      <c r="I1301" s="432"/>
      <c r="J1301" s="254"/>
      <c r="K1301" s="436"/>
    </row>
    <row r="1302" spans="1:11" ht="15.75" hidden="1">
      <c r="A1302" s="87" t="s">
        <v>1662</v>
      </c>
      <c r="B1302" s="82" t="s">
        <v>116</v>
      </c>
      <c r="C1302" s="85" t="s">
        <v>1083</v>
      </c>
      <c r="D1302" s="85" t="s">
        <v>1603</v>
      </c>
      <c r="E1302" s="85" t="s">
        <v>771</v>
      </c>
      <c r="F1302" s="85" t="s">
        <v>892</v>
      </c>
      <c r="G1302" s="90">
        <v>0</v>
      </c>
      <c r="H1302" s="90">
        <v>0</v>
      </c>
      <c r="I1302" s="432"/>
      <c r="J1302" s="254"/>
      <c r="K1302" s="436"/>
    </row>
    <row r="1303" spans="1:11" ht="15.75">
      <c r="A1303" s="275" t="s">
        <v>122</v>
      </c>
      <c r="B1303" s="172"/>
      <c r="C1303" s="200"/>
      <c r="D1303" s="200"/>
      <c r="E1303" s="200"/>
      <c r="F1303" s="200"/>
      <c r="G1303" s="178"/>
      <c r="H1303" s="254"/>
      <c r="I1303" s="432"/>
      <c r="J1303" s="254"/>
      <c r="K1303" s="436"/>
    </row>
    <row r="1304" spans="1:11" ht="15">
      <c r="A1304" s="88" t="s">
        <v>123</v>
      </c>
      <c r="B1304" s="373"/>
      <c r="C1304" s="85"/>
      <c r="D1304" s="85"/>
      <c r="E1304" s="85"/>
      <c r="F1304" s="85"/>
      <c r="G1304" s="90"/>
      <c r="H1304" s="254"/>
      <c r="I1304" s="254"/>
      <c r="J1304" s="254"/>
      <c r="K1304" s="254"/>
    </row>
    <row r="1305" spans="1:11" ht="15">
      <c r="A1305" s="340"/>
      <c r="B1305" s="341"/>
      <c r="C1305" s="341"/>
      <c r="D1305" s="341"/>
      <c r="E1305" s="341"/>
      <c r="F1305" s="341"/>
      <c r="G1305" s="342"/>
      <c r="H1305" s="254"/>
      <c r="I1305" s="254"/>
      <c r="J1305" s="254"/>
      <c r="K1305" s="254"/>
    </row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</sheetData>
  <sheetProtection/>
  <mergeCells count="2">
    <mergeCell ref="A5:K5"/>
    <mergeCell ref="A6:K6"/>
  </mergeCells>
  <printOptions horizontalCentered="1"/>
  <pageMargins left="0.15748031496062992" right="0.1968503937007874" top="0.6299212598425197" bottom="0.6299212598425197" header="0.4330708661417323" footer="0.3937007874015748"/>
  <pageSetup firstPageNumber="52" useFirstPageNumber="1" horizontalDpi="600" verticalDpi="600" orientation="landscape" paperSize="9" scale="90" r:id="rId3"/>
  <headerFooter alignWithMargins="0">
    <oddFooter>&amp;R&amp;P</oddFooter>
  </headerFooter>
  <rowBreaks count="6" manualBreakCount="6">
    <brk id="809" max="10" man="1"/>
    <brk id="861" max="255" man="1"/>
    <brk id="894" max="10" man="1"/>
    <brk id="923" max="255" man="1"/>
    <brk id="977" max="10" man="1"/>
    <brk id="101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D3" sqref="D3"/>
    </sheetView>
  </sheetViews>
  <sheetFormatPr defaultColWidth="9.00390625" defaultRowHeight="12.75"/>
  <cols>
    <col min="1" max="1" width="6.75390625" style="37" customWidth="1"/>
    <col min="2" max="2" width="63.25390625" style="37" customWidth="1"/>
    <col min="3" max="3" width="25.25390625" style="37" customWidth="1"/>
    <col min="4" max="4" width="15.25390625" style="37" customWidth="1"/>
    <col min="5" max="5" width="14.25390625" style="37" customWidth="1"/>
    <col min="6" max="16384" width="8.75390625" style="37" customWidth="1"/>
  </cols>
  <sheetData>
    <row r="1" spans="1:4" ht="15.75">
      <c r="A1" s="38"/>
      <c r="B1" s="38"/>
      <c r="C1" s="39"/>
      <c r="D1" s="22" t="s">
        <v>976</v>
      </c>
    </row>
    <row r="2" spans="1:4" ht="15.75">
      <c r="A2" s="38"/>
      <c r="B2" s="38"/>
      <c r="C2" s="40"/>
      <c r="D2" s="41" t="s">
        <v>1059</v>
      </c>
    </row>
    <row r="3" spans="1:4" ht="15.75">
      <c r="A3" s="38"/>
      <c r="B3" s="38"/>
      <c r="C3" s="38"/>
      <c r="D3" s="22" t="s">
        <v>1614</v>
      </c>
    </row>
    <row r="4" spans="1:4" ht="15.75">
      <c r="A4" s="38"/>
      <c r="B4" s="38"/>
      <c r="C4" s="38"/>
      <c r="D4" s="38"/>
    </row>
    <row r="5" spans="1:5" ht="12.75">
      <c r="A5" s="527" t="s">
        <v>1068</v>
      </c>
      <c r="B5" s="527"/>
      <c r="C5" s="527"/>
      <c r="D5" s="527"/>
      <c r="E5" s="527"/>
    </row>
    <row r="6" spans="1:5" ht="12.75">
      <c r="A6" s="528" t="s">
        <v>1213</v>
      </c>
      <c r="B6" s="528"/>
      <c r="C6" s="528"/>
      <c r="D6" s="528"/>
      <c r="E6" s="528"/>
    </row>
    <row r="7" spans="1:4" ht="15.75">
      <c r="A7" s="38"/>
      <c r="B7" s="38"/>
      <c r="C7" s="38"/>
      <c r="D7" s="38"/>
    </row>
    <row r="8" spans="1:5" ht="19.5" customHeight="1">
      <c r="A8" s="529" t="s">
        <v>1065</v>
      </c>
      <c r="B8" s="529"/>
      <c r="C8" s="529"/>
      <c r="D8" s="529"/>
      <c r="E8" s="529"/>
    </row>
    <row r="9" spans="1:5" ht="38.25">
      <c r="A9" s="42" t="s">
        <v>1064</v>
      </c>
      <c r="B9" s="42" t="s">
        <v>1066</v>
      </c>
      <c r="C9" s="43" t="s">
        <v>1214</v>
      </c>
      <c r="D9" s="42" t="s">
        <v>438</v>
      </c>
      <c r="E9" s="43" t="s">
        <v>1058</v>
      </c>
    </row>
    <row r="10" spans="1:5" ht="31.5" customHeight="1">
      <c r="A10" s="42" t="s">
        <v>1067</v>
      </c>
      <c r="B10" s="44" t="s">
        <v>450</v>
      </c>
      <c r="C10" s="119" t="s">
        <v>782</v>
      </c>
      <c r="D10" s="119" t="s">
        <v>782</v>
      </c>
      <c r="E10" s="45" t="s">
        <v>27</v>
      </c>
    </row>
    <row r="11" spans="1:5" ht="31.5" customHeight="1">
      <c r="A11" s="42" t="s">
        <v>1069</v>
      </c>
      <c r="B11" s="44" t="s">
        <v>451</v>
      </c>
      <c r="C11" s="119" t="s">
        <v>782</v>
      </c>
      <c r="D11" s="119" t="s">
        <v>782</v>
      </c>
      <c r="E11" s="144" t="s">
        <v>27</v>
      </c>
    </row>
    <row r="12" spans="1:5" ht="31.5" customHeight="1">
      <c r="A12" s="47"/>
      <c r="B12" s="215" t="s">
        <v>1215</v>
      </c>
      <c r="C12" s="120" t="s">
        <v>782</v>
      </c>
      <c r="D12" s="120" t="s">
        <v>782</v>
      </c>
      <c r="E12" s="118" t="s">
        <v>27</v>
      </c>
    </row>
    <row r="13" spans="1:5" ht="35.25" customHeight="1">
      <c r="A13" s="526" t="s">
        <v>439</v>
      </c>
      <c r="B13" s="526"/>
      <c r="C13" s="526"/>
      <c r="D13" s="526"/>
      <c r="E13" s="526"/>
    </row>
    <row r="14" spans="1:6" ht="38.25">
      <c r="A14" s="42" t="s">
        <v>1064</v>
      </c>
      <c r="B14" s="42" t="s">
        <v>1066</v>
      </c>
      <c r="C14" s="43" t="s">
        <v>1216</v>
      </c>
      <c r="D14" s="42" t="s">
        <v>438</v>
      </c>
      <c r="E14" s="49" t="s">
        <v>1058</v>
      </c>
      <c r="F14" s="52"/>
    </row>
    <row r="15" spans="1:6" ht="25.5">
      <c r="A15" s="50" t="s">
        <v>1067</v>
      </c>
      <c r="B15" s="44" t="s">
        <v>450</v>
      </c>
      <c r="C15" s="119" t="s">
        <v>782</v>
      </c>
      <c r="D15" s="119" t="s">
        <v>782</v>
      </c>
      <c r="E15" s="46" t="s">
        <v>27</v>
      </c>
      <c r="F15" s="53"/>
    </row>
    <row r="16" spans="1:6" ht="31.5" customHeight="1">
      <c r="A16" s="50" t="s">
        <v>1069</v>
      </c>
      <c r="B16" s="44" t="s">
        <v>451</v>
      </c>
      <c r="C16" s="119" t="s">
        <v>782</v>
      </c>
      <c r="D16" s="119" t="s">
        <v>782</v>
      </c>
      <c r="E16" s="46" t="s">
        <v>27</v>
      </c>
      <c r="F16" s="53"/>
    </row>
    <row r="17" spans="1:6" ht="38.25">
      <c r="A17" s="42" t="s">
        <v>440</v>
      </c>
      <c r="B17" s="44" t="s">
        <v>441</v>
      </c>
      <c r="C17" s="119" t="s">
        <v>782</v>
      </c>
      <c r="D17" s="119" t="s">
        <v>782</v>
      </c>
      <c r="E17" s="46" t="s">
        <v>27</v>
      </c>
      <c r="F17" s="54"/>
    </row>
    <row r="18" spans="1:6" ht="24.75" customHeight="1">
      <c r="A18" s="47"/>
      <c r="B18" s="51" t="s">
        <v>1892</v>
      </c>
      <c r="C18" s="120" t="s">
        <v>782</v>
      </c>
      <c r="D18" s="120" t="s">
        <v>782</v>
      </c>
      <c r="E18" s="48" t="s">
        <v>27</v>
      </c>
      <c r="F18" s="55"/>
    </row>
    <row r="19" spans="5:6" ht="12.75">
      <c r="E19" s="56"/>
      <c r="F19" s="57"/>
    </row>
  </sheetData>
  <sheetProtection/>
  <mergeCells count="4">
    <mergeCell ref="A13:E13"/>
    <mergeCell ref="A5:E5"/>
    <mergeCell ref="A6:E6"/>
    <mergeCell ref="A8:E8"/>
  </mergeCells>
  <printOptions horizontalCentered="1"/>
  <pageMargins left="0.7874015748031497" right="0.5511811023622047" top="0.7874015748031497" bottom="0.8267716535433072" header="0.31496062992125984" footer="0.5118110236220472"/>
  <pageSetup firstPageNumber="95" useFirstPageNumber="1"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2.75390625" style="149" customWidth="1"/>
    <col min="2" max="2" width="16.25390625" style="149" customWidth="1"/>
    <col min="3" max="3" width="12.375" style="149" customWidth="1"/>
    <col min="4" max="4" width="9.375" style="149" customWidth="1"/>
    <col min="5" max="5" width="4.375" style="149" customWidth="1"/>
    <col min="6" max="6" width="10.00390625" style="149" customWidth="1"/>
    <col min="7" max="7" width="8.375" style="149" customWidth="1"/>
    <col min="8" max="8" width="9.25390625" style="149" customWidth="1"/>
    <col min="9" max="9" width="6.00390625" style="149" customWidth="1"/>
    <col min="10" max="10" width="8.375" style="149" customWidth="1"/>
    <col min="11" max="11" width="7.375" style="149" customWidth="1"/>
    <col min="12" max="12" width="6.375" style="149" customWidth="1"/>
    <col min="13" max="14" width="8.375" style="149" customWidth="1"/>
    <col min="15" max="15" width="7.75390625" style="149" customWidth="1"/>
    <col min="16" max="16" width="6.375" style="149" customWidth="1"/>
    <col min="17" max="17" width="7.00390625" style="149" customWidth="1"/>
    <col min="18" max="18" width="7.375" style="149" customWidth="1"/>
    <col min="19" max="19" width="8.75390625" style="149" customWidth="1"/>
    <col min="20" max="20" width="8.375" style="149" customWidth="1"/>
    <col min="21" max="16384" width="8.75390625" style="149" customWidth="1"/>
  </cols>
  <sheetData>
    <row r="1" spans="13:14" s="145" customFormat="1" ht="12.75">
      <c r="M1" s="146" t="s">
        <v>977</v>
      </c>
      <c r="N1" s="146"/>
    </row>
    <row r="2" spans="13:14" s="145" customFormat="1" ht="12.75">
      <c r="M2" s="147" t="s">
        <v>1059</v>
      </c>
      <c r="N2" s="146"/>
    </row>
    <row r="3" spans="13:14" s="145" customFormat="1" ht="12.75">
      <c r="M3" s="22" t="s">
        <v>1614</v>
      </c>
      <c r="N3" s="146"/>
    </row>
    <row r="4" s="145" customFormat="1" ht="12.75"/>
    <row r="5" spans="1:18" s="145" customFormat="1" ht="12.75">
      <c r="A5" s="558" t="s">
        <v>516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</row>
    <row r="6" spans="1:18" s="145" customFormat="1" ht="12.75">
      <c r="A6" s="558" t="s">
        <v>1217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</row>
    <row r="7" s="145" customFormat="1" ht="12.75"/>
    <row r="8" s="145" customFormat="1" ht="13.5" thickBot="1">
      <c r="A8" s="148" t="s">
        <v>517</v>
      </c>
    </row>
    <row r="9" spans="1:18" ht="15" customHeight="1">
      <c r="A9" s="540" t="s">
        <v>1064</v>
      </c>
      <c r="B9" s="543" t="s">
        <v>466</v>
      </c>
      <c r="C9" s="545" t="s">
        <v>13</v>
      </c>
      <c r="D9" s="545" t="s">
        <v>14</v>
      </c>
      <c r="E9" s="548" t="s">
        <v>15</v>
      </c>
      <c r="F9" s="545" t="s">
        <v>16</v>
      </c>
      <c r="G9" s="551" t="s">
        <v>17</v>
      </c>
      <c r="H9" s="552"/>
      <c r="I9" s="552"/>
      <c r="J9" s="552"/>
      <c r="K9" s="552"/>
      <c r="L9" s="552"/>
      <c r="M9" s="552"/>
      <c r="N9" s="552"/>
      <c r="O9" s="553"/>
      <c r="P9" s="554" t="s">
        <v>1220</v>
      </c>
      <c r="Q9" s="555"/>
      <c r="R9" s="556"/>
    </row>
    <row r="10" spans="1:18" ht="26.25" customHeight="1">
      <c r="A10" s="541"/>
      <c r="B10" s="533"/>
      <c r="C10" s="546"/>
      <c r="D10" s="546"/>
      <c r="E10" s="549"/>
      <c r="F10" s="546"/>
      <c r="G10" s="532" t="s">
        <v>18</v>
      </c>
      <c r="H10" s="533" t="s">
        <v>19</v>
      </c>
      <c r="I10" s="533"/>
      <c r="J10" s="533" t="s">
        <v>1218</v>
      </c>
      <c r="K10" s="533"/>
      <c r="L10" s="533"/>
      <c r="M10" s="537" t="s">
        <v>1219</v>
      </c>
      <c r="N10" s="538"/>
      <c r="O10" s="539"/>
      <c r="P10" s="534"/>
      <c r="Q10" s="557"/>
      <c r="R10" s="535"/>
    </row>
    <row r="11" spans="1:18" ht="12.75">
      <c r="A11" s="541"/>
      <c r="B11" s="533"/>
      <c r="C11" s="546"/>
      <c r="D11" s="546"/>
      <c r="E11" s="549"/>
      <c r="F11" s="546"/>
      <c r="G11" s="530"/>
      <c r="H11" s="532" t="s">
        <v>20</v>
      </c>
      <c r="I11" s="532" t="s">
        <v>21</v>
      </c>
      <c r="J11" s="532" t="s">
        <v>18</v>
      </c>
      <c r="K11" s="533" t="s">
        <v>22</v>
      </c>
      <c r="L11" s="533"/>
      <c r="M11" s="532" t="s">
        <v>18</v>
      </c>
      <c r="N11" s="533" t="s">
        <v>22</v>
      </c>
      <c r="O11" s="533"/>
      <c r="P11" s="530" t="s">
        <v>18</v>
      </c>
      <c r="Q11" s="534" t="s">
        <v>22</v>
      </c>
      <c r="R11" s="535"/>
    </row>
    <row r="12" spans="1:18" ht="127.5" thickBot="1">
      <c r="A12" s="542"/>
      <c r="B12" s="544"/>
      <c r="C12" s="547"/>
      <c r="D12" s="547"/>
      <c r="E12" s="550"/>
      <c r="F12" s="547"/>
      <c r="G12" s="531"/>
      <c r="H12" s="531"/>
      <c r="I12" s="531"/>
      <c r="J12" s="531"/>
      <c r="K12" s="150" t="s">
        <v>23</v>
      </c>
      <c r="L12" s="150" t="s">
        <v>21</v>
      </c>
      <c r="M12" s="531"/>
      <c r="N12" s="150" t="s">
        <v>24</v>
      </c>
      <c r="O12" s="150" t="s">
        <v>25</v>
      </c>
      <c r="P12" s="531"/>
      <c r="Q12" s="150" t="s">
        <v>26</v>
      </c>
      <c r="R12" s="151" t="s">
        <v>25</v>
      </c>
    </row>
    <row r="13" spans="1:18" ht="12.75">
      <c r="A13" s="152" t="s">
        <v>27</v>
      </c>
      <c r="B13" s="152" t="s">
        <v>27</v>
      </c>
      <c r="C13" s="152" t="s">
        <v>27</v>
      </c>
      <c r="D13" s="152" t="s">
        <v>27</v>
      </c>
      <c r="E13" s="152" t="s">
        <v>27</v>
      </c>
      <c r="F13" s="152" t="s">
        <v>27</v>
      </c>
      <c r="G13" s="152" t="s">
        <v>27</v>
      </c>
      <c r="H13" s="152" t="s">
        <v>27</v>
      </c>
      <c r="I13" s="152" t="s">
        <v>27</v>
      </c>
      <c r="J13" s="152" t="s">
        <v>27</v>
      </c>
      <c r="K13" s="152" t="s">
        <v>27</v>
      </c>
      <c r="L13" s="152" t="s">
        <v>27</v>
      </c>
      <c r="M13" s="152" t="s">
        <v>27</v>
      </c>
      <c r="N13" s="152" t="s">
        <v>27</v>
      </c>
      <c r="O13" s="152" t="s">
        <v>27</v>
      </c>
      <c r="P13" s="152" t="s">
        <v>27</v>
      </c>
      <c r="Q13" s="152" t="s">
        <v>27</v>
      </c>
      <c r="R13" s="152" t="s">
        <v>27</v>
      </c>
    </row>
    <row r="14" spans="1:18" ht="12.75">
      <c r="A14" s="153"/>
      <c r="B14" s="154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ht="13.5" thickBot="1">
      <c r="A15" s="148" t="s">
        <v>28</v>
      </c>
    </row>
    <row r="16" spans="1:18" ht="12.75">
      <c r="A16" s="540" t="s">
        <v>1064</v>
      </c>
      <c r="B16" s="543" t="s">
        <v>466</v>
      </c>
      <c r="C16" s="545" t="s">
        <v>13</v>
      </c>
      <c r="D16" s="545" t="s">
        <v>14</v>
      </c>
      <c r="E16" s="548" t="s">
        <v>15</v>
      </c>
      <c r="F16" s="545" t="s">
        <v>16</v>
      </c>
      <c r="G16" s="551" t="s">
        <v>17</v>
      </c>
      <c r="H16" s="552"/>
      <c r="I16" s="552"/>
      <c r="J16" s="552"/>
      <c r="K16" s="552"/>
      <c r="L16" s="552"/>
      <c r="M16" s="552"/>
      <c r="N16" s="552"/>
      <c r="O16" s="553"/>
      <c r="P16" s="554" t="s">
        <v>1220</v>
      </c>
      <c r="Q16" s="555"/>
      <c r="R16" s="556"/>
    </row>
    <row r="17" spans="1:18" ht="26.25" customHeight="1">
      <c r="A17" s="541"/>
      <c r="B17" s="533"/>
      <c r="C17" s="546"/>
      <c r="D17" s="546"/>
      <c r="E17" s="549"/>
      <c r="F17" s="546"/>
      <c r="G17" s="532" t="s">
        <v>18</v>
      </c>
      <c r="H17" s="533" t="s">
        <v>19</v>
      </c>
      <c r="I17" s="533"/>
      <c r="J17" s="533" t="s">
        <v>1218</v>
      </c>
      <c r="K17" s="533"/>
      <c r="L17" s="533"/>
      <c r="M17" s="537" t="s">
        <v>1219</v>
      </c>
      <c r="N17" s="538"/>
      <c r="O17" s="539"/>
      <c r="P17" s="534"/>
      <c r="Q17" s="557"/>
      <c r="R17" s="535"/>
    </row>
    <row r="18" spans="1:18" ht="12.75">
      <c r="A18" s="541"/>
      <c r="B18" s="533"/>
      <c r="C18" s="546"/>
      <c r="D18" s="546"/>
      <c r="E18" s="549"/>
      <c r="F18" s="546"/>
      <c r="G18" s="530"/>
      <c r="H18" s="532" t="s">
        <v>20</v>
      </c>
      <c r="I18" s="532" t="s">
        <v>21</v>
      </c>
      <c r="J18" s="532" t="s">
        <v>18</v>
      </c>
      <c r="K18" s="533" t="s">
        <v>22</v>
      </c>
      <c r="L18" s="533"/>
      <c r="M18" s="532" t="s">
        <v>18</v>
      </c>
      <c r="N18" s="533" t="s">
        <v>22</v>
      </c>
      <c r="O18" s="533"/>
      <c r="P18" s="530" t="s">
        <v>18</v>
      </c>
      <c r="Q18" s="534" t="s">
        <v>22</v>
      </c>
      <c r="R18" s="535"/>
    </row>
    <row r="19" spans="1:18" ht="127.5" thickBot="1">
      <c r="A19" s="542"/>
      <c r="B19" s="544"/>
      <c r="C19" s="547"/>
      <c r="D19" s="547"/>
      <c r="E19" s="550"/>
      <c r="F19" s="547"/>
      <c r="G19" s="531"/>
      <c r="H19" s="531"/>
      <c r="I19" s="531"/>
      <c r="J19" s="531"/>
      <c r="K19" s="150" t="s">
        <v>23</v>
      </c>
      <c r="L19" s="150" t="s">
        <v>21</v>
      </c>
      <c r="M19" s="531"/>
      <c r="N19" s="150" t="s">
        <v>24</v>
      </c>
      <c r="O19" s="150" t="s">
        <v>25</v>
      </c>
      <c r="P19" s="531"/>
      <c r="Q19" s="150" t="s">
        <v>26</v>
      </c>
      <c r="R19" s="151" t="s">
        <v>25</v>
      </c>
    </row>
    <row r="20" spans="1:18" ht="12.75">
      <c r="A20" s="155">
        <v>1</v>
      </c>
      <c r="B20" s="156" t="s">
        <v>29</v>
      </c>
      <c r="C20" s="156" t="s">
        <v>29</v>
      </c>
      <c r="D20" s="157" t="s">
        <v>29</v>
      </c>
      <c r="E20" s="155" t="s">
        <v>29</v>
      </c>
      <c r="F20" s="158" t="s">
        <v>29</v>
      </c>
      <c r="G20" s="159" t="s">
        <v>29</v>
      </c>
      <c r="H20" s="157" t="s">
        <v>29</v>
      </c>
      <c r="I20" s="157" t="s">
        <v>29</v>
      </c>
      <c r="J20" s="159" t="s">
        <v>29</v>
      </c>
      <c r="K20" s="157" t="s">
        <v>29</v>
      </c>
      <c r="L20" s="157" t="s">
        <v>29</v>
      </c>
      <c r="M20" s="159" t="s">
        <v>29</v>
      </c>
      <c r="N20" s="157" t="s">
        <v>29</v>
      </c>
      <c r="O20" s="157" t="s">
        <v>29</v>
      </c>
      <c r="P20" s="159" t="s">
        <v>29</v>
      </c>
      <c r="Q20" s="159" t="s">
        <v>29</v>
      </c>
      <c r="R20" s="159" t="s">
        <v>29</v>
      </c>
    </row>
    <row r="21" spans="1:18" ht="12.75">
      <c r="A21" s="160"/>
      <c r="B21" s="161" t="s">
        <v>30</v>
      </c>
      <c r="C21" s="160"/>
      <c r="D21" s="162">
        <f>SUM(D20:D20)</f>
        <v>0</v>
      </c>
      <c r="E21" s="160"/>
      <c r="F21" s="160"/>
      <c r="G21" s="162">
        <f aca="true" t="shared" si="0" ref="G21:R21">SUM(G20:G20)</f>
        <v>0</v>
      </c>
      <c r="H21" s="162">
        <f t="shared" si="0"/>
        <v>0</v>
      </c>
      <c r="I21" s="162">
        <f t="shared" si="0"/>
        <v>0</v>
      </c>
      <c r="J21" s="162">
        <f t="shared" si="0"/>
        <v>0</v>
      </c>
      <c r="K21" s="162">
        <f t="shared" si="0"/>
        <v>0</v>
      </c>
      <c r="L21" s="162">
        <f t="shared" si="0"/>
        <v>0</v>
      </c>
      <c r="M21" s="162">
        <f t="shared" si="0"/>
        <v>0</v>
      </c>
      <c r="N21" s="162">
        <f t="shared" si="0"/>
        <v>0</v>
      </c>
      <c r="O21" s="162">
        <f t="shared" si="0"/>
        <v>0</v>
      </c>
      <c r="P21" s="162">
        <f t="shared" si="0"/>
        <v>0</v>
      </c>
      <c r="Q21" s="162">
        <f t="shared" si="0"/>
        <v>0</v>
      </c>
      <c r="R21" s="162">
        <f t="shared" si="0"/>
        <v>0</v>
      </c>
    </row>
    <row r="22" spans="1:18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</row>
  </sheetData>
  <sheetProtection/>
  <mergeCells count="43">
    <mergeCell ref="A5:R5"/>
    <mergeCell ref="A6:R6"/>
    <mergeCell ref="A9:A12"/>
    <mergeCell ref="B9:B12"/>
    <mergeCell ref="C9:C12"/>
    <mergeCell ref="D9:D12"/>
    <mergeCell ref="E9:E12"/>
    <mergeCell ref="F9:F12"/>
    <mergeCell ref="G9:O9"/>
    <mergeCell ref="P9:R10"/>
    <mergeCell ref="H10:I10"/>
    <mergeCell ref="J10:L10"/>
    <mergeCell ref="M10:O10"/>
    <mergeCell ref="H11:H12"/>
    <mergeCell ref="I11:I12"/>
    <mergeCell ref="J11:J12"/>
    <mergeCell ref="K11:L11"/>
    <mergeCell ref="M11:M12"/>
    <mergeCell ref="N11:O11"/>
    <mergeCell ref="Q11:R11"/>
    <mergeCell ref="A16:A19"/>
    <mergeCell ref="B16:B19"/>
    <mergeCell ref="C16:C19"/>
    <mergeCell ref="D16:D19"/>
    <mergeCell ref="E16:E19"/>
    <mergeCell ref="F16:F19"/>
    <mergeCell ref="G16:O16"/>
    <mergeCell ref="P16:R17"/>
    <mergeCell ref="G10:G12"/>
    <mergeCell ref="Q18:R18"/>
    <mergeCell ref="A22:R22"/>
    <mergeCell ref="G17:G19"/>
    <mergeCell ref="H17:I17"/>
    <mergeCell ref="J17:L17"/>
    <mergeCell ref="M17:O17"/>
    <mergeCell ref="M18:M19"/>
    <mergeCell ref="N18:O18"/>
    <mergeCell ref="P11:P12"/>
    <mergeCell ref="P18:P19"/>
    <mergeCell ref="H18:H19"/>
    <mergeCell ref="I18:I19"/>
    <mergeCell ref="J18:J19"/>
    <mergeCell ref="K18:L18"/>
  </mergeCells>
  <printOptions/>
  <pageMargins left="0.75" right="0.75" top="1" bottom="1" header="0.5" footer="0.5"/>
  <pageSetup firstPageNumber="96" useFirstPageNumber="1" fitToHeight="1" fitToWidth="1" horizontalDpi="600" verticalDpi="600" orientation="landscape" paperSize="9" scale="8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4.375" style="164" customWidth="1"/>
    <col min="2" max="2" width="28.00390625" style="164" customWidth="1"/>
    <col min="3" max="3" width="14.00390625" style="164" customWidth="1"/>
    <col min="4" max="4" width="11.375" style="164" customWidth="1"/>
    <col min="5" max="5" width="4.375" style="164" customWidth="1"/>
    <col min="6" max="6" width="8.375" style="164" customWidth="1"/>
    <col min="7" max="7" width="9.00390625" style="164" customWidth="1"/>
    <col min="8" max="8" width="9.375" style="164" customWidth="1"/>
    <col min="9" max="9" width="7.375" style="164" customWidth="1"/>
    <col min="10" max="10" width="8.375" style="164" customWidth="1"/>
    <col min="11" max="11" width="9.375" style="164" customWidth="1"/>
    <col min="12" max="12" width="7.375" style="164" customWidth="1"/>
    <col min="13" max="13" width="9.75390625" style="164" customWidth="1"/>
    <col min="14" max="14" width="8.375" style="164" customWidth="1"/>
    <col min="15" max="15" width="7.375" style="164" customWidth="1"/>
    <col min="16" max="16" width="9.25390625" style="164" customWidth="1"/>
    <col min="17" max="17" width="8.25390625" style="164" customWidth="1"/>
    <col min="18" max="18" width="8.375" style="164" customWidth="1"/>
    <col min="19" max="16384" width="8.75390625" style="164" customWidth="1"/>
  </cols>
  <sheetData>
    <row r="1" spans="1:18" ht="15" thickBot="1">
      <c r="A1" s="163" t="s">
        <v>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2.75" customHeight="1">
      <c r="A2" s="540" t="s">
        <v>1064</v>
      </c>
      <c r="B2" s="543" t="s">
        <v>466</v>
      </c>
      <c r="C2" s="545" t="s">
        <v>13</v>
      </c>
      <c r="D2" s="559" t="s">
        <v>14</v>
      </c>
      <c r="E2" s="548" t="s">
        <v>1112</v>
      </c>
      <c r="F2" s="559" t="s">
        <v>16</v>
      </c>
      <c r="G2" s="551" t="s">
        <v>17</v>
      </c>
      <c r="H2" s="552"/>
      <c r="I2" s="552"/>
      <c r="J2" s="552"/>
      <c r="K2" s="552"/>
      <c r="L2" s="552"/>
      <c r="M2" s="552"/>
      <c r="N2" s="552"/>
      <c r="O2" s="553"/>
      <c r="P2" s="554" t="s">
        <v>1220</v>
      </c>
      <c r="Q2" s="555"/>
      <c r="R2" s="556"/>
    </row>
    <row r="3" spans="1:18" ht="24.75" customHeight="1">
      <c r="A3" s="541"/>
      <c r="B3" s="533"/>
      <c r="C3" s="546"/>
      <c r="D3" s="530"/>
      <c r="E3" s="549"/>
      <c r="F3" s="530"/>
      <c r="G3" s="532" t="s">
        <v>18</v>
      </c>
      <c r="H3" s="533" t="s">
        <v>19</v>
      </c>
      <c r="I3" s="533"/>
      <c r="J3" s="533" t="s">
        <v>1218</v>
      </c>
      <c r="K3" s="533"/>
      <c r="L3" s="533"/>
      <c r="M3" s="537" t="s">
        <v>1219</v>
      </c>
      <c r="N3" s="538"/>
      <c r="O3" s="539"/>
      <c r="P3" s="534"/>
      <c r="Q3" s="557"/>
      <c r="R3" s="535"/>
    </row>
    <row r="4" spans="1:18" ht="12.75" customHeight="1">
      <c r="A4" s="541"/>
      <c r="B4" s="533"/>
      <c r="C4" s="546"/>
      <c r="D4" s="530"/>
      <c r="E4" s="549"/>
      <c r="F4" s="530"/>
      <c r="G4" s="530"/>
      <c r="H4" s="532" t="s">
        <v>20</v>
      </c>
      <c r="I4" s="532" t="s">
        <v>21</v>
      </c>
      <c r="J4" s="532" t="s">
        <v>18</v>
      </c>
      <c r="K4" s="533" t="s">
        <v>22</v>
      </c>
      <c r="L4" s="533"/>
      <c r="M4" s="532" t="s">
        <v>18</v>
      </c>
      <c r="N4" s="533" t="s">
        <v>22</v>
      </c>
      <c r="O4" s="533"/>
      <c r="P4" s="530" t="s">
        <v>18</v>
      </c>
      <c r="Q4" s="534" t="s">
        <v>22</v>
      </c>
      <c r="R4" s="535"/>
    </row>
    <row r="5" spans="1:18" ht="127.5" thickBot="1">
      <c r="A5" s="542"/>
      <c r="B5" s="544"/>
      <c r="C5" s="547"/>
      <c r="D5" s="531"/>
      <c r="E5" s="550"/>
      <c r="F5" s="531"/>
      <c r="G5" s="531"/>
      <c r="H5" s="531"/>
      <c r="I5" s="531"/>
      <c r="J5" s="531"/>
      <c r="K5" s="150" t="s">
        <v>23</v>
      </c>
      <c r="L5" s="150" t="s">
        <v>21</v>
      </c>
      <c r="M5" s="531"/>
      <c r="N5" s="150" t="s">
        <v>24</v>
      </c>
      <c r="O5" s="150" t="s">
        <v>25</v>
      </c>
      <c r="P5" s="531"/>
      <c r="Q5" s="150" t="s">
        <v>26</v>
      </c>
      <c r="R5" s="151" t="s">
        <v>25</v>
      </c>
    </row>
    <row r="6" spans="1:18" ht="44.25" customHeight="1">
      <c r="A6" s="155">
        <v>1</v>
      </c>
      <c r="B6" s="156" t="s">
        <v>779</v>
      </c>
      <c r="C6" s="378" t="s">
        <v>1923</v>
      </c>
      <c r="D6" s="157">
        <v>6000</v>
      </c>
      <c r="E6" s="155">
        <v>20</v>
      </c>
      <c r="F6" s="165" t="s">
        <v>1113</v>
      </c>
      <c r="G6" s="157">
        <f>SUM(H6+I6)</f>
        <v>3076</v>
      </c>
      <c r="H6" s="157">
        <v>3000</v>
      </c>
      <c r="I6" s="157">
        <v>76</v>
      </c>
      <c r="J6" s="157">
        <f>K6+L6</f>
        <v>3076</v>
      </c>
      <c r="K6" s="157">
        <v>3000</v>
      </c>
      <c r="L6" s="157">
        <v>76</v>
      </c>
      <c r="M6" s="157">
        <f>SUM(N6+O6)</f>
        <v>3076</v>
      </c>
      <c r="N6" s="157">
        <v>3000</v>
      </c>
      <c r="O6" s="157">
        <v>76</v>
      </c>
      <c r="P6" s="159">
        <f>SUM(Q6+R6)</f>
        <v>0</v>
      </c>
      <c r="Q6" s="159">
        <f>H6-N6</f>
        <v>0</v>
      </c>
      <c r="R6" s="159">
        <f>I6-O6</f>
        <v>0</v>
      </c>
    </row>
    <row r="7" spans="1:18" s="166" customFormat="1" ht="38.25">
      <c r="A7" s="155">
        <v>2</v>
      </c>
      <c r="B7" s="156" t="s">
        <v>779</v>
      </c>
      <c r="C7" s="378" t="s">
        <v>1924</v>
      </c>
      <c r="D7" s="157">
        <v>30000</v>
      </c>
      <c r="E7" s="155">
        <v>20</v>
      </c>
      <c r="F7" s="165" t="s">
        <v>1114</v>
      </c>
      <c r="G7" s="157">
        <f>SUM(H7+I7)</f>
        <v>16660</v>
      </c>
      <c r="H7" s="157">
        <v>16154</v>
      </c>
      <c r="I7" s="157">
        <v>506</v>
      </c>
      <c r="J7" s="157">
        <f>K7+L7</f>
        <v>16660</v>
      </c>
      <c r="K7" s="157">
        <v>16154</v>
      </c>
      <c r="L7" s="157">
        <v>506</v>
      </c>
      <c r="M7" s="157">
        <f>SUM(N7+O7)</f>
        <v>16660</v>
      </c>
      <c r="N7" s="157">
        <v>16154</v>
      </c>
      <c r="O7" s="157">
        <v>506</v>
      </c>
      <c r="P7" s="159">
        <f>SUM(Q7+R7)</f>
        <v>0</v>
      </c>
      <c r="Q7" s="159">
        <f>H7-N7</f>
        <v>0</v>
      </c>
      <c r="R7" s="159">
        <f>I7-O7</f>
        <v>0</v>
      </c>
    </row>
    <row r="8" spans="1:18" s="166" customFormat="1" ht="38.25">
      <c r="A8" s="155">
        <v>3</v>
      </c>
      <c r="B8" s="156" t="s">
        <v>1042</v>
      </c>
      <c r="C8" s="378" t="s">
        <v>1043</v>
      </c>
      <c r="D8" s="157">
        <v>52674</v>
      </c>
      <c r="E8" s="155"/>
      <c r="F8" s="165" t="s">
        <v>1044</v>
      </c>
      <c r="G8" s="157">
        <f aca="true" t="shared" si="0" ref="G8:G37">SUM(H8+I8)</f>
        <v>17476</v>
      </c>
      <c r="H8" s="157">
        <v>17476</v>
      </c>
      <c r="I8" s="157">
        <v>0</v>
      </c>
      <c r="J8" s="157">
        <f aca="true" t="shared" si="1" ref="J8:J37">K8+L8</f>
        <v>14314</v>
      </c>
      <c r="K8" s="157">
        <v>14314</v>
      </c>
      <c r="L8" s="157">
        <v>0</v>
      </c>
      <c r="M8" s="157">
        <f>SUM(N8+O8)</f>
        <v>14314</v>
      </c>
      <c r="N8" s="157">
        <v>14314</v>
      </c>
      <c r="O8" s="157">
        <v>0</v>
      </c>
      <c r="P8" s="159">
        <f aca="true" t="shared" si="2" ref="P8:P37">SUM(Q8+R8)</f>
        <v>3162</v>
      </c>
      <c r="Q8" s="159">
        <f aca="true" t="shared" si="3" ref="Q8:R23">H8-N8</f>
        <v>3162</v>
      </c>
      <c r="R8" s="159">
        <f t="shared" si="3"/>
        <v>0</v>
      </c>
    </row>
    <row r="9" spans="1:18" s="166" customFormat="1" ht="38.25">
      <c r="A9" s="155">
        <v>4</v>
      </c>
      <c r="B9" s="156" t="s">
        <v>779</v>
      </c>
      <c r="C9" s="378" t="s">
        <v>212</v>
      </c>
      <c r="D9" s="157">
        <v>16000</v>
      </c>
      <c r="E9" s="155">
        <v>20</v>
      </c>
      <c r="F9" s="165" t="s">
        <v>1115</v>
      </c>
      <c r="G9" s="157">
        <f t="shared" si="0"/>
        <v>20287</v>
      </c>
      <c r="H9" s="157">
        <v>16000</v>
      </c>
      <c r="I9" s="157">
        <v>4287</v>
      </c>
      <c r="J9" s="157">
        <f t="shared" si="1"/>
        <v>11541</v>
      </c>
      <c r="K9" s="157">
        <v>8750</v>
      </c>
      <c r="L9" s="157">
        <v>2791</v>
      </c>
      <c r="M9" s="157">
        <f>SUM(N9+O9)</f>
        <v>11541</v>
      </c>
      <c r="N9" s="157">
        <v>8750</v>
      </c>
      <c r="O9" s="157">
        <v>2791</v>
      </c>
      <c r="P9" s="159">
        <f t="shared" si="2"/>
        <v>8746</v>
      </c>
      <c r="Q9" s="159">
        <f t="shared" si="3"/>
        <v>7250</v>
      </c>
      <c r="R9" s="159">
        <f t="shared" si="3"/>
        <v>1496</v>
      </c>
    </row>
    <row r="10" spans="1:18" s="166" customFormat="1" ht="38.25">
      <c r="A10" s="155">
        <v>5</v>
      </c>
      <c r="B10" s="156" t="s">
        <v>32</v>
      </c>
      <c r="C10" s="378" t="s">
        <v>213</v>
      </c>
      <c r="D10" s="157">
        <v>9600</v>
      </c>
      <c r="E10" s="155">
        <v>20</v>
      </c>
      <c r="F10" s="165" t="s">
        <v>214</v>
      </c>
      <c r="G10" s="157">
        <f t="shared" si="0"/>
        <v>3179</v>
      </c>
      <c r="H10" s="157">
        <v>3160</v>
      </c>
      <c r="I10" s="157">
        <v>19</v>
      </c>
      <c r="J10" s="157">
        <f t="shared" si="1"/>
        <v>3179</v>
      </c>
      <c r="K10" s="157">
        <v>3160</v>
      </c>
      <c r="L10" s="157">
        <v>19</v>
      </c>
      <c r="M10" s="157">
        <f aca="true" t="shared" si="4" ref="M10:M37">SUM(N10+O10)</f>
        <v>3179</v>
      </c>
      <c r="N10" s="157">
        <v>3160</v>
      </c>
      <c r="O10" s="157">
        <v>19</v>
      </c>
      <c r="P10" s="159">
        <f t="shared" si="2"/>
        <v>0</v>
      </c>
      <c r="Q10" s="159">
        <f t="shared" si="3"/>
        <v>0</v>
      </c>
      <c r="R10" s="159">
        <f t="shared" si="3"/>
        <v>0</v>
      </c>
    </row>
    <row r="11" spans="1:18" s="166" customFormat="1" ht="38.25">
      <c r="A11" s="155">
        <v>6</v>
      </c>
      <c r="B11" s="156" t="s">
        <v>779</v>
      </c>
      <c r="C11" s="378" t="s">
        <v>215</v>
      </c>
      <c r="D11" s="157">
        <v>29000</v>
      </c>
      <c r="E11" s="155">
        <v>20</v>
      </c>
      <c r="F11" s="165" t="s">
        <v>1116</v>
      </c>
      <c r="G11" s="157">
        <f t="shared" si="0"/>
        <v>36421</v>
      </c>
      <c r="H11" s="157">
        <v>29000</v>
      </c>
      <c r="I11" s="157">
        <v>7421</v>
      </c>
      <c r="J11" s="157">
        <f t="shared" si="1"/>
        <v>18355</v>
      </c>
      <c r="K11" s="157">
        <v>13350</v>
      </c>
      <c r="L11" s="157">
        <v>5005</v>
      </c>
      <c r="M11" s="157">
        <f t="shared" si="4"/>
        <v>18355</v>
      </c>
      <c r="N11" s="157">
        <v>13350</v>
      </c>
      <c r="O11" s="157">
        <v>5005</v>
      </c>
      <c r="P11" s="159">
        <f t="shared" si="2"/>
        <v>18066</v>
      </c>
      <c r="Q11" s="159">
        <f t="shared" si="3"/>
        <v>15650</v>
      </c>
      <c r="R11" s="159">
        <f t="shared" si="3"/>
        <v>2416</v>
      </c>
    </row>
    <row r="12" spans="1:18" s="166" customFormat="1" ht="38.25">
      <c r="A12" s="155">
        <v>7</v>
      </c>
      <c r="B12" s="156" t="s">
        <v>32</v>
      </c>
      <c r="C12" s="378" t="s">
        <v>216</v>
      </c>
      <c r="D12" s="157">
        <v>8500</v>
      </c>
      <c r="E12" s="155">
        <v>20</v>
      </c>
      <c r="F12" s="165" t="s">
        <v>217</v>
      </c>
      <c r="G12" s="157">
        <f t="shared" si="0"/>
        <v>8662</v>
      </c>
      <c r="H12" s="157">
        <v>8500</v>
      </c>
      <c r="I12" s="157">
        <v>162</v>
      </c>
      <c r="J12" s="157">
        <f t="shared" si="1"/>
        <v>8662</v>
      </c>
      <c r="K12" s="157">
        <v>8500</v>
      </c>
      <c r="L12" s="157">
        <v>162</v>
      </c>
      <c r="M12" s="157">
        <f t="shared" si="4"/>
        <v>8662</v>
      </c>
      <c r="N12" s="157">
        <v>8500</v>
      </c>
      <c r="O12" s="157">
        <v>162</v>
      </c>
      <c r="P12" s="159">
        <f t="shared" si="2"/>
        <v>0</v>
      </c>
      <c r="Q12" s="159">
        <f t="shared" si="3"/>
        <v>0</v>
      </c>
      <c r="R12" s="159">
        <f t="shared" si="3"/>
        <v>0</v>
      </c>
    </row>
    <row r="13" spans="1:18" s="166" customFormat="1" ht="38.25">
      <c r="A13" s="155">
        <v>8</v>
      </c>
      <c r="B13" s="156" t="s">
        <v>32</v>
      </c>
      <c r="C13" s="378" t="s">
        <v>234</v>
      </c>
      <c r="D13" s="157">
        <v>8500</v>
      </c>
      <c r="E13" s="155">
        <v>20</v>
      </c>
      <c r="F13" s="165" t="s">
        <v>235</v>
      </c>
      <c r="G13" s="157">
        <f t="shared" si="0"/>
        <v>8781</v>
      </c>
      <c r="H13" s="157">
        <v>8500</v>
      </c>
      <c r="I13" s="157">
        <v>281</v>
      </c>
      <c r="J13" s="157">
        <f t="shared" si="1"/>
        <v>8781</v>
      </c>
      <c r="K13" s="157">
        <v>8500</v>
      </c>
      <c r="L13" s="157">
        <v>281</v>
      </c>
      <c r="M13" s="157">
        <f t="shared" si="4"/>
        <v>8781</v>
      </c>
      <c r="N13" s="157">
        <v>8500</v>
      </c>
      <c r="O13" s="157">
        <v>281</v>
      </c>
      <c r="P13" s="159">
        <f t="shared" si="2"/>
        <v>0</v>
      </c>
      <c r="Q13" s="159">
        <f t="shared" si="3"/>
        <v>0</v>
      </c>
      <c r="R13" s="159">
        <f t="shared" si="3"/>
        <v>0</v>
      </c>
    </row>
    <row r="14" spans="1:18" s="166" customFormat="1" ht="38.25">
      <c r="A14" s="155">
        <v>9</v>
      </c>
      <c r="B14" s="156" t="s">
        <v>32</v>
      </c>
      <c r="C14" s="378" t="s">
        <v>236</v>
      </c>
      <c r="D14" s="157">
        <v>6500</v>
      </c>
      <c r="E14" s="155">
        <v>20</v>
      </c>
      <c r="F14" s="165" t="s">
        <v>237</v>
      </c>
      <c r="G14" s="157">
        <f t="shared" si="0"/>
        <v>6578</v>
      </c>
      <c r="H14" s="157">
        <v>6500</v>
      </c>
      <c r="I14" s="157">
        <v>78</v>
      </c>
      <c r="J14" s="157">
        <f t="shared" si="1"/>
        <v>6578</v>
      </c>
      <c r="K14" s="157">
        <v>6500</v>
      </c>
      <c r="L14" s="157">
        <v>78</v>
      </c>
      <c r="M14" s="157">
        <f t="shared" si="4"/>
        <v>6578</v>
      </c>
      <c r="N14" s="157">
        <v>6500</v>
      </c>
      <c r="O14" s="157">
        <v>78</v>
      </c>
      <c r="P14" s="159">
        <f t="shared" si="2"/>
        <v>0</v>
      </c>
      <c r="Q14" s="159">
        <f t="shared" si="3"/>
        <v>0</v>
      </c>
      <c r="R14" s="159">
        <f t="shared" si="3"/>
        <v>0</v>
      </c>
    </row>
    <row r="15" spans="1:18" s="166" customFormat="1" ht="38.25">
      <c r="A15" s="155">
        <v>10</v>
      </c>
      <c r="B15" s="156" t="s">
        <v>32</v>
      </c>
      <c r="C15" s="378" t="s">
        <v>238</v>
      </c>
      <c r="D15" s="157">
        <v>8500</v>
      </c>
      <c r="E15" s="155">
        <v>20</v>
      </c>
      <c r="F15" s="165" t="s">
        <v>239</v>
      </c>
      <c r="G15" s="157">
        <f t="shared" si="0"/>
        <v>8943</v>
      </c>
      <c r="H15" s="157">
        <v>8500</v>
      </c>
      <c r="I15" s="157">
        <v>443</v>
      </c>
      <c r="J15" s="157">
        <f t="shared" si="1"/>
        <v>8943</v>
      </c>
      <c r="K15" s="157">
        <v>8500</v>
      </c>
      <c r="L15" s="157">
        <v>443</v>
      </c>
      <c r="M15" s="157">
        <f t="shared" si="4"/>
        <v>8943</v>
      </c>
      <c r="N15" s="157">
        <v>8500</v>
      </c>
      <c r="O15" s="157">
        <v>443</v>
      </c>
      <c r="P15" s="159">
        <f t="shared" si="2"/>
        <v>0</v>
      </c>
      <c r="Q15" s="159">
        <f t="shared" si="3"/>
        <v>0</v>
      </c>
      <c r="R15" s="159">
        <f t="shared" si="3"/>
        <v>0</v>
      </c>
    </row>
    <row r="16" spans="1:18" s="166" customFormat="1" ht="51">
      <c r="A16" s="155">
        <v>11</v>
      </c>
      <c r="B16" s="156" t="s">
        <v>1554</v>
      </c>
      <c r="C16" s="378" t="s">
        <v>240</v>
      </c>
      <c r="D16" s="157">
        <v>1350</v>
      </c>
      <c r="E16" s="155">
        <v>20</v>
      </c>
      <c r="F16" s="165" t="s">
        <v>467</v>
      </c>
      <c r="G16" s="157">
        <f t="shared" si="0"/>
        <v>1368</v>
      </c>
      <c r="H16" s="157">
        <v>1350</v>
      </c>
      <c r="I16" s="157">
        <v>18</v>
      </c>
      <c r="J16" s="157">
        <f t="shared" si="1"/>
        <v>1368</v>
      </c>
      <c r="K16" s="157">
        <v>1350</v>
      </c>
      <c r="L16" s="157">
        <v>18</v>
      </c>
      <c r="M16" s="157">
        <f t="shared" si="4"/>
        <v>1368</v>
      </c>
      <c r="N16" s="157">
        <v>1350</v>
      </c>
      <c r="O16" s="157">
        <v>18</v>
      </c>
      <c r="P16" s="159">
        <f t="shared" si="2"/>
        <v>0</v>
      </c>
      <c r="Q16" s="159">
        <f t="shared" si="3"/>
        <v>0</v>
      </c>
      <c r="R16" s="159">
        <f t="shared" si="3"/>
        <v>0</v>
      </c>
    </row>
    <row r="17" spans="1:18" s="167" customFormat="1" ht="38.25">
      <c r="A17" s="155">
        <v>12</v>
      </c>
      <c r="B17" s="156" t="s">
        <v>32</v>
      </c>
      <c r="C17" s="378" t="s">
        <v>468</v>
      </c>
      <c r="D17" s="157">
        <v>9500</v>
      </c>
      <c r="E17" s="155">
        <v>20</v>
      </c>
      <c r="F17" s="165" t="s">
        <v>1117</v>
      </c>
      <c r="G17" s="157">
        <f t="shared" si="0"/>
        <v>10185</v>
      </c>
      <c r="H17" s="157">
        <v>9500</v>
      </c>
      <c r="I17" s="157">
        <v>685</v>
      </c>
      <c r="J17" s="157">
        <f>K17+L17</f>
        <v>10185</v>
      </c>
      <c r="K17" s="157">
        <v>9500</v>
      </c>
      <c r="L17" s="157">
        <v>685</v>
      </c>
      <c r="M17" s="157">
        <f t="shared" si="4"/>
        <v>10185</v>
      </c>
      <c r="N17" s="157">
        <v>9500</v>
      </c>
      <c r="O17" s="157">
        <v>685</v>
      </c>
      <c r="P17" s="159">
        <f t="shared" si="2"/>
        <v>0</v>
      </c>
      <c r="Q17" s="159">
        <f>H17-N17</f>
        <v>0</v>
      </c>
      <c r="R17" s="159">
        <f>I17-O17</f>
        <v>0</v>
      </c>
    </row>
    <row r="18" spans="1:18" ht="38.25">
      <c r="A18" s="155">
        <v>13</v>
      </c>
      <c r="B18" s="156" t="s">
        <v>779</v>
      </c>
      <c r="C18" s="378" t="s">
        <v>469</v>
      </c>
      <c r="D18" s="157">
        <v>60000</v>
      </c>
      <c r="E18" s="155">
        <v>20</v>
      </c>
      <c r="F18" s="165" t="s">
        <v>470</v>
      </c>
      <c r="G18" s="157">
        <f t="shared" si="0"/>
        <v>71836</v>
      </c>
      <c r="H18" s="157">
        <v>60000</v>
      </c>
      <c r="I18" s="157">
        <v>11836</v>
      </c>
      <c r="J18" s="157">
        <f t="shared" si="1"/>
        <v>35403</v>
      </c>
      <c r="K18" s="157">
        <v>27050</v>
      </c>
      <c r="L18" s="157">
        <v>8353</v>
      </c>
      <c r="M18" s="157">
        <f t="shared" si="4"/>
        <v>35403</v>
      </c>
      <c r="N18" s="157">
        <v>27050</v>
      </c>
      <c r="O18" s="157">
        <v>8353</v>
      </c>
      <c r="P18" s="159">
        <f t="shared" si="2"/>
        <v>36433</v>
      </c>
      <c r="Q18" s="159">
        <f t="shared" si="3"/>
        <v>32950</v>
      </c>
      <c r="R18" s="159">
        <f t="shared" si="3"/>
        <v>3483</v>
      </c>
    </row>
    <row r="19" spans="1:18" ht="38.25">
      <c r="A19" s="155">
        <v>14</v>
      </c>
      <c r="B19" s="156" t="s">
        <v>32</v>
      </c>
      <c r="C19" s="378" t="s">
        <v>1118</v>
      </c>
      <c r="D19" s="157">
        <v>13000</v>
      </c>
      <c r="E19" s="155">
        <v>20</v>
      </c>
      <c r="F19" s="165" t="s">
        <v>1119</v>
      </c>
      <c r="G19" s="157">
        <f t="shared" si="0"/>
        <v>14207</v>
      </c>
      <c r="H19" s="157">
        <v>13000</v>
      </c>
      <c r="I19" s="157">
        <v>1207</v>
      </c>
      <c r="J19" s="157">
        <f t="shared" si="1"/>
        <v>14207</v>
      </c>
      <c r="K19" s="157">
        <v>13000</v>
      </c>
      <c r="L19" s="157">
        <v>1207</v>
      </c>
      <c r="M19" s="157">
        <f t="shared" si="4"/>
        <v>14207</v>
      </c>
      <c r="N19" s="157">
        <v>13000</v>
      </c>
      <c r="O19" s="157">
        <v>1207</v>
      </c>
      <c r="P19" s="159">
        <f t="shared" si="2"/>
        <v>0</v>
      </c>
      <c r="Q19" s="159">
        <f t="shared" si="3"/>
        <v>0</v>
      </c>
      <c r="R19" s="159">
        <f t="shared" si="3"/>
        <v>0</v>
      </c>
    </row>
    <row r="20" spans="1:18" ht="38.25">
      <c r="A20" s="155">
        <v>15</v>
      </c>
      <c r="B20" s="156" t="s">
        <v>32</v>
      </c>
      <c r="C20" s="378" t="s">
        <v>1120</v>
      </c>
      <c r="D20" s="157">
        <v>10900</v>
      </c>
      <c r="E20" s="155">
        <v>20</v>
      </c>
      <c r="F20" s="165" t="s">
        <v>1121</v>
      </c>
      <c r="G20" s="157">
        <f t="shared" si="0"/>
        <v>12058</v>
      </c>
      <c r="H20" s="157">
        <v>10900</v>
      </c>
      <c r="I20" s="157">
        <v>1158</v>
      </c>
      <c r="J20" s="157">
        <f t="shared" si="1"/>
        <v>12058</v>
      </c>
      <c r="K20" s="157">
        <v>10900</v>
      </c>
      <c r="L20" s="157">
        <v>1158</v>
      </c>
      <c r="M20" s="157">
        <f t="shared" si="4"/>
        <v>12058</v>
      </c>
      <c r="N20" s="157">
        <v>10900</v>
      </c>
      <c r="O20" s="157">
        <v>1158</v>
      </c>
      <c r="P20" s="159">
        <f t="shared" si="2"/>
        <v>0</v>
      </c>
      <c r="Q20" s="159">
        <f t="shared" si="3"/>
        <v>0</v>
      </c>
      <c r="R20" s="159">
        <f t="shared" si="3"/>
        <v>0</v>
      </c>
    </row>
    <row r="21" spans="1:18" ht="38.25">
      <c r="A21" s="155">
        <v>16</v>
      </c>
      <c r="B21" s="156" t="s">
        <v>32</v>
      </c>
      <c r="C21" s="378" t="s">
        <v>1122</v>
      </c>
      <c r="D21" s="157">
        <v>9400</v>
      </c>
      <c r="E21" s="155">
        <v>20</v>
      </c>
      <c r="F21" s="165" t="s">
        <v>1123</v>
      </c>
      <c r="G21" s="157">
        <f t="shared" si="0"/>
        <v>10252</v>
      </c>
      <c r="H21" s="157">
        <v>9400</v>
      </c>
      <c r="I21" s="157">
        <v>852</v>
      </c>
      <c r="J21" s="157">
        <f t="shared" si="1"/>
        <v>10252</v>
      </c>
      <c r="K21" s="157">
        <v>9400</v>
      </c>
      <c r="L21" s="157">
        <v>852</v>
      </c>
      <c r="M21" s="157">
        <f t="shared" si="4"/>
        <v>10252</v>
      </c>
      <c r="N21" s="157">
        <v>9400</v>
      </c>
      <c r="O21" s="157">
        <v>852</v>
      </c>
      <c r="P21" s="159">
        <f>SUM(Q21+R21)</f>
        <v>0</v>
      </c>
      <c r="Q21" s="159">
        <f t="shared" si="3"/>
        <v>0</v>
      </c>
      <c r="R21" s="159">
        <f t="shared" si="3"/>
        <v>0</v>
      </c>
    </row>
    <row r="22" spans="1:18" ht="38.25">
      <c r="A22" s="155">
        <v>17</v>
      </c>
      <c r="B22" s="156" t="s">
        <v>32</v>
      </c>
      <c r="C22" s="378" t="s">
        <v>1124</v>
      </c>
      <c r="D22" s="157">
        <v>12000</v>
      </c>
      <c r="E22" s="155">
        <v>20</v>
      </c>
      <c r="F22" s="165" t="s">
        <v>1125</v>
      </c>
      <c r="G22" s="157">
        <f t="shared" si="0"/>
        <v>13180</v>
      </c>
      <c r="H22" s="157">
        <v>12000</v>
      </c>
      <c r="I22" s="157">
        <v>1180</v>
      </c>
      <c r="J22" s="157">
        <f t="shared" si="1"/>
        <v>13180</v>
      </c>
      <c r="K22" s="157">
        <v>12000</v>
      </c>
      <c r="L22" s="157">
        <v>1180</v>
      </c>
      <c r="M22" s="157">
        <f t="shared" si="4"/>
        <v>13180</v>
      </c>
      <c r="N22" s="157">
        <v>12000</v>
      </c>
      <c r="O22" s="157">
        <v>1180</v>
      </c>
      <c r="P22" s="159">
        <f>SUM(Q22+R22)</f>
        <v>0</v>
      </c>
      <c r="Q22" s="159">
        <f t="shared" si="3"/>
        <v>0</v>
      </c>
      <c r="R22" s="159">
        <f t="shared" si="3"/>
        <v>0</v>
      </c>
    </row>
    <row r="23" spans="1:18" ht="38.25">
      <c r="A23" s="155">
        <v>18</v>
      </c>
      <c r="B23" s="156" t="s">
        <v>33</v>
      </c>
      <c r="C23" s="378" t="s">
        <v>1126</v>
      </c>
      <c r="D23" s="157">
        <v>14000</v>
      </c>
      <c r="E23" s="155">
        <v>20</v>
      </c>
      <c r="F23" s="165" t="s">
        <v>1117</v>
      </c>
      <c r="G23" s="157">
        <f t="shared" si="0"/>
        <v>14346</v>
      </c>
      <c r="H23" s="157">
        <v>14000</v>
      </c>
      <c r="I23" s="157">
        <v>346</v>
      </c>
      <c r="J23" s="157">
        <f t="shared" si="1"/>
        <v>14346</v>
      </c>
      <c r="K23" s="157">
        <v>14000</v>
      </c>
      <c r="L23" s="157">
        <v>346</v>
      </c>
      <c r="M23" s="157">
        <f t="shared" si="4"/>
        <v>14346</v>
      </c>
      <c r="N23" s="157">
        <v>14000</v>
      </c>
      <c r="O23" s="157">
        <v>346</v>
      </c>
      <c r="P23" s="159">
        <f>SUM(Q23+R23)</f>
        <v>0</v>
      </c>
      <c r="Q23" s="159">
        <f t="shared" si="3"/>
        <v>0</v>
      </c>
      <c r="R23" s="159">
        <f t="shared" si="3"/>
        <v>0</v>
      </c>
    </row>
    <row r="24" spans="1:18" ht="38.25">
      <c r="A24" s="155">
        <v>19</v>
      </c>
      <c r="B24" s="156" t="s">
        <v>32</v>
      </c>
      <c r="C24" s="378" t="s">
        <v>1127</v>
      </c>
      <c r="D24" s="157">
        <v>10000</v>
      </c>
      <c r="E24" s="155">
        <v>20</v>
      </c>
      <c r="F24" s="165" t="s">
        <v>1128</v>
      </c>
      <c r="G24" s="157">
        <f t="shared" si="0"/>
        <v>10904</v>
      </c>
      <c r="H24" s="157">
        <v>10000</v>
      </c>
      <c r="I24" s="157">
        <v>904</v>
      </c>
      <c r="J24" s="157">
        <f t="shared" si="1"/>
        <v>10904</v>
      </c>
      <c r="K24" s="157">
        <v>10000</v>
      </c>
      <c r="L24" s="157">
        <v>904</v>
      </c>
      <c r="M24" s="157">
        <f t="shared" si="4"/>
        <v>10904</v>
      </c>
      <c r="N24" s="157">
        <v>10000</v>
      </c>
      <c r="O24" s="157">
        <v>904</v>
      </c>
      <c r="P24" s="159">
        <f>SUM(Q24+R24)</f>
        <v>0</v>
      </c>
      <c r="Q24" s="159">
        <f aca="true" t="shared" si="5" ref="Q24:R37">H24-N24</f>
        <v>0</v>
      </c>
      <c r="R24" s="159">
        <f t="shared" si="5"/>
        <v>0</v>
      </c>
    </row>
    <row r="25" spans="1:18" ht="38.25">
      <c r="A25" s="155">
        <v>20</v>
      </c>
      <c r="B25" s="156" t="s">
        <v>33</v>
      </c>
      <c r="C25" s="378" t="s">
        <v>1129</v>
      </c>
      <c r="D25" s="157">
        <v>14000</v>
      </c>
      <c r="E25" s="155">
        <v>20</v>
      </c>
      <c r="F25" s="165" t="s">
        <v>1130</v>
      </c>
      <c r="G25" s="157">
        <f t="shared" si="0"/>
        <v>14350</v>
      </c>
      <c r="H25" s="157">
        <v>14000</v>
      </c>
      <c r="I25" s="157">
        <v>350</v>
      </c>
      <c r="J25" s="157">
        <f t="shared" si="1"/>
        <v>14350</v>
      </c>
      <c r="K25" s="157">
        <v>14000</v>
      </c>
      <c r="L25" s="157">
        <v>350</v>
      </c>
      <c r="M25" s="157">
        <f t="shared" si="4"/>
        <v>14350</v>
      </c>
      <c r="N25" s="157">
        <v>14000</v>
      </c>
      <c r="O25" s="157">
        <v>350</v>
      </c>
      <c r="P25" s="159">
        <f t="shared" si="2"/>
        <v>0</v>
      </c>
      <c r="Q25" s="159">
        <f t="shared" si="5"/>
        <v>0</v>
      </c>
      <c r="R25" s="159">
        <f t="shared" si="5"/>
        <v>0</v>
      </c>
    </row>
    <row r="26" spans="1:18" ht="38.25">
      <c r="A26" s="155">
        <v>21</v>
      </c>
      <c r="B26" s="156" t="s">
        <v>32</v>
      </c>
      <c r="C26" s="378" t="s">
        <v>1131</v>
      </c>
      <c r="D26" s="157">
        <v>7500</v>
      </c>
      <c r="E26" s="155">
        <v>20</v>
      </c>
      <c r="F26" s="165" t="s">
        <v>1132</v>
      </c>
      <c r="G26" s="157">
        <f t="shared" si="0"/>
        <v>8211</v>
      </c>
      <c r="H26" s="157">
        <v>7500</v>
      </c>
      <c r="I26" s="157">
        <v>711</v>
      </c>
      <c r="J26" s="157">
        <f t="shared" si="1"/>
        <v>8211</v>
      </c>
      <c r="K26" s="157">
        <v>7500</v>
      </c>
      <c r="L26" s="157">
        <v>711</v>
      </c>
      <c r="M26" s="157">
        <f t="shared" si="4"/>
        <v>8211</v>
      </c>
      <c r="N26" s="157">
        <v>7500</v>
      </c>
      <c r="O26" s="157">
        <v>711</v>
      </c>
      <c r="P26" s="159">
        <f t="shared" si="2"/>
        <v>0</v>
      </c>
      <c r="Q26" s="159">
        <f t="shared" si="5"/>
        <v>0</v>
      </c>
      <c r="R26" s="159">
        <f t="shared" si="5"/>
        <v>0</v>
      </c>
    </row>
    <row r="27" spans="1:18" ht="25.5">
      <c r="A27" s="155">
        <v>22</v>
      </c>
      <c r="B27" s="156" t="s">
        <v>1133</v>
      </c>
      <c r="C27" s="378" t="s">
        <v>1134</v>
      </c>
      <c r="D27" s="157">
        <v>60000</v>
      </c>
      <c r="E27" s="155">
        <v>20</v>
      </c>
      <c r="F27" s="165" t="s">
        <v>1135</v>
      </c>
      <c r="G27" s="157">
        <f t="shared" si="0"/>
        <v>75554</v>
      </c>
      <c r="H27" s="157">
        <v>60000</v>
      </c>
      <c r="I27" s="157">
        <v>15554</v>
      </c>
      <c r="J27" s="157">
        <f t="shared" si="1"/>
        <v>16551</v>
      </c>
      <c r="K27" s="157">
        <v>12750</v>
      </c>
      <c r="L27" s="157">
        <v>3801</v>
      </c>
      <c r="M27" s="157">
        <f t="shared" si="4"/>
        <v>16551</v>
      </c>
      <c r="N27" s="157">
        <v>12750</v>
      </c>
      <c r="O27" s="157">
        <v>3801</v>
      </c>
      <c r="P27" s="159">
        <f t="shared" si="2"/>
        <v>59003</v>
      </c>
      <c r="Q27" s="159">
        <f t="shared" si="5"/>
        <v>47250</v>
      </c>
      <c r="R27" s="159">
        <f t="shared" si="5"/>
        <v>11753</v>
      </c>
    </row>
    <row r="28" spans="1:18" ht="39" customHeight="1">
      <c r="A28" s="155">
        <v>23</v>
      </c>
      <c r="B28" s="156" t="s">
        <v>32</v>
      </c>
      <c r="C28" s="378" t="s">
        <v>1136</v>
      </c>
      <c r="D28" s="157">
        <v>15700</v>
      </c>
      <c r="E28" s="155">
        <v>20</v>
      </c>
      <c r="F28" s="165" t="s">
        <v>1137</v>
      </c>
      <c r="G28" s="157">
        <f t="shared" si="0"/>
        <v>17262</v>
      </c>
      <c r="H28" s="157">
        <v>15700</v>
      </c>
      <c r="I28" s="157">
        <v>1562</v>
      </c>
      <c r="J28" s="157">
        <f t="shared" si="1"/>
        <v>6173</v>
      </c>
      <c r="K28" s="157">
        <v>4725</v>
      </c>
      <c r="L28" s="157">
        <v>1448</v>
      </c>
      <c r="M28" s="157">
        <f t="shared" si="4"/>
        <v>6173</v>
      </c>
      <c r="N28" s="157">
        <v>4725</v>
      </c>
      <c r="O28" s="157">
        <v>1448</v>
      </c>
      <c r="P28" s="159">
        <f t="shared" si="2"/>
        <v>11089</v>
      </c>
      <c r="Q28" s="159">
        <f t="shared" si="5"/>
        <v>10975</v>
      </c>
      <c r="R28" s="159">
        <f t="shared" si="5"/>
        <v>114</v>
      </c>
    </row>
    <row r="29" spans="1:18" ht="38.25">
      <c r="A29" s="155">
        <v>24</v>
      </c>
      <c r="B29" s="156" t="s">
        <v>33</v>
      </c>
      <c r="C29" s="378" t="s">
        <v>1138</v>
      </c>
      <c r="D29" s="157">
        <v>14000</v>
      </c>
      <c r="E29" s="155">
        <v>20</v>
      </c>
      <c r="F29" s="165" t="s">
        <v>1125</v>
      </c>
      <c r="G29" s="157">
        <f t="shared" si="0"/>
        <v>14346</v>
      </c>
      <c r="H29" s="157">
        <v>14000</v>
      </c>
      <c r="I29" s="157">
        <v>346</v>
      </c>
      <c r="J29" s="157">
        <f t="shared" si="1"/>
        <v>14346</v>
      </c>
      <c r="K29" s="157">
        <v>14000</v>
      </c>
      <c r="L29" s="157">
        <v>346</v>
      </c>
      <c r="M29" s="157">
        <f t="shared" si="4"/>
        <v>14346</v>
      </c>
      <c r="N29" s="157">
        <v>14000</v>
      </c>
      <c r="O29" s="157">
        <v>346</v>
      </c>
      <c r="P29" s="159">
        <f t="shared" si="2"/>
        <v>0</v>
      </c>
      <c r="Q29" s="159">
        <f t="shared" si="5"/>
        <v>0</v>
      </c>
      <c r="R29" s="159">
        <f t="shared" si="5"/>
        <v>0</v>
      </c>
    </row>
    <row r="30" spans="1:18" ht="38.25">
      <c r="A30" s="155">
        <v>25</v>
      </c>
      <c r="B30" s="156" t="s">
        <v>32</v>
      </c>
      <c r="C30" s="378" t="s">
        <v>1139</v>
      </c>
      <c r="D30" s="157">
        <v>8800</v>
      </c>
      <c r="E30" s="155">
        <v>20</v>
      </c>
      <c r="F30" s="165" t="s">
        <v>1140</v>
      </c>
      <c r="G30" s="157">
        <f t="shared" si="0"/>
        <v>9685</v>
      </c>
      <c r="H30" s="157">
        <v>8800</v>
      </c>
      <c r="I30" s="157">
        <v>885</v>
      </c>
      <c r="J30" s="157">
        <f t="shared" si="1"/>
        <v>664</v>
      </c>
      <c r="K30" s="157">
        <v>0</v>
      </c>
      <c r="L30" s="157">
        <v>664</v>
      </c>
      <c r="M30" s="157">
        <f t="shared" si="4"/>
        <v>664</v>
      </c>
      <c r="N30" s="157">
        <v>0</v>
      </c>
      <c r="O30" s="157">
        <v>664</v>
      </c>
      <c r="P30" s="159">
        <f>SUM(Q30+R30)</f>
        <v>9021</v>
      </c>
      <c r="Q30" s="159">
        <f t="shared" si="5"/>
        <v>8800</v>
      </c>
      <c r="R30" s="159">
        <f t="shared" si="5"/>
        <v>221</v>
      </c>
    </row>
    <row r="31" spans="1:18" ht="38.25">
      <c r="A31" s="155">
        <v>26</v>
      </c>
      <c r="B31" s="156" t="s">
        <v>32</v>
      </c>
      <c r="C31" s="378" t="s">
        <v>1141</v>
      </c>
      <c r="D31" s="157">
        <v>8300</v>
      </c>
      <c r="E31" s="155">
        <v>20</v>
      </c>
      <c r="F31" s="165" t="s">
        <v>1142</v>
      </c>
      <c r="G31" s="157">
        <f t="shared" si="0"/>
        <v>9122</v>
      </c>
      <c r="H31" s="157">
        <v>8300</v>
      </c>
      <c r="I31" s="157">
        <v>822</v>
      </c>
      <c r="J31" s="157">
        <f t="shared" si="1"/>
        <v>490</v>
      </c>
      <c r="K31" s="157">
        <v>0</v>
      </c>
      <c r="L31" s="157">
        <v>490</v>
      </c>
      <c r="M31" s="157">
        <f t="shared" si="4"/>
        <v>490</v>
      </c>
      <c r="N31" s="157">
        <v>0</v>
      </c>
      <c r="O31" s="157">
        <v>490</v>
      </c>
      <c r="P31" s="159">
        <f>SUM(Q31+R31)</f>
        <v>8632</v>
      </c>
      <c r="Q31" s="159">
        <f t="shared" si="5"/>
        <v>8300</v>
      </c>
      <c r="R31" s="159">
        <f t="shared" si="5"/>
        <v>332</v>
      </c>
    </row>
    <row r="32" spans="1:18" ht="38.25">
      <c r="A32" s="155">
        <v>27</v>
      </c>
      <c r="B32" s="156" t="s">
        <v>33</v>
      </c>
      <c r="C32" s="378" t="s">
        <v>1143</v>
      </c>
      <c r="D32" s="157">
        <v>7000</v>
      </c>
      <c r="E32" s="155">
        <v>20</v>
      </c>
      <c r="F32" s="165" t="s">
        <v>1144</v>
      </c>
      <c r="G32" s="157">
        <f t="shared" si="0"/>
        <v>7127</v>
      </c>
      <c r="H32" s="157">
        <v>7000</v>
      </c>
      <c r="I32" s="157">
        <v>127</v>
      </c>
      <c r="J32" s="157">
        <f t="shared" si="1"/>
        <v>7127</v>
      </c>
      <c r="K32" s="157">
        <v>7000</v>
      </c>
      <c r="L32" s="157">
        <v>127</v>
      </c>
      <c r="M32" s="157">
        <f t="shared" si="4"/>
        <v>7127</v>
      </c>
      <c r="N32" s="157">
        <v>7000</v>
      </c>
      <c r="O32" s="157">
        <v>127</v>
      </c>
      <c r="P32" s="159">
        <f>SUM(Q32+R32)</f>
        <v>0</v>
      </c>
      <c r="Q32" s="159">
        <f t="shared" si="5"/>
        <v>0</v>
      </c>
      <c r="R32" s="159">
        <f t="shared" si="5"/>
        <v>0</v>
      </c>
    </row>
    <row r="33" spans="1:18" ht="38.25">
      <c r="A33" s="155">
        <v>28</v>
      </c>
      <c r="B33" s="156" t="s">
        <v>32</v>
      </c>
      <c r="C33" s="378" t="s">
        <v>1145</v>
      </c>
      <c r="D33" s="157">
        <v>25500</v>
      </c>
      <c r="E33" s="155">
        <v>20</v>
      </c>
      <c r="F33" s="165" t="s">
        <v>1146</v>
      </c>
      <c r="G33" s="157">
        <f t="shared" si="0"/>
        <v>28878</v>
      </c>
      <c r="H33" s="157">
        <v>25500</v>
      </c>
      <c r="I33" s="157">
        <v>3378</v>
      </c>
      <c r="J33" s="157">
        <f t="shared" si="1"/>
        <v>1073</v>
      </c>
      <c r="K33" s="157">
        <v>0</v>
      </c>
      <c r="L33" s="157">
        <v>1073</v>
      </c>
      <c r="M33" s="157">
        <f t="shared" si="4"/>
        <v>1073</v>
      </c>
      <c r="N33" s="157">
        <v>0</v>
      </c>
      <c r="O33" s="157">
        <v>1073</v>
      </c>
      <c r="P33" s="159">
        <f>SUM(Q33+R33)</f>
        <v>27805</v>
      </c>
      <c r="Q33" s="159">
        <f t="shared" si="5"/>
        <v>25500</v>
      </c>
      <c r="R33" s="159">
        <f t="shared" si="5"/>
        <v>2305</v>
      </c>
    </row>
    <row r="34" spans="1:18" ht="38.25">
      <c r="A34" s="155">
        <v>29</v>
      </c>
      <c r="B34" s="156" t="s">
        <v>33</v>
      </c>
      <c r="C34" s="378" t="s">
        <v>1147</v>
      </c>
      <c r="D34" s="157">
        <v>4000</v>
      </c>
      <c r="E34" s="155">
        <v>20</v>
      </c>
      <c r="F34" s="165" t="s">
        <v>1148</v>
      </c>
      <c r="G34" s="157">
        <f t="shared" si="0"/>
        <v>4063</v>
      </c>
      <c r="H34" s="157">
        <v>4000</v>
      </c>
      <c r="I34" s="157">
        <v>63</v>
      </c>
      <c r="J34" s="157">
        <f t="shared" si="1"/>
        <v>4063</v>
      </c>
      <c r="K34" s="157">
        <v>4000</v>
      </c>
      <c r="L34" s="157">
        <v>63</v>
      </c>
      <c r="M34" s="157">
        <f t="shared" si="4"/>
        <v>4063</v>
      </c>
      <c r="N34" s="157">
        <v>4000</v>
      </c>
      <c r="O34" s="157">
        <v>63</v>
      </c>
      <c r="P34" s="159">
        <f>SUM(Q34+R34)</f>
        <v>0</v>
      </c>
      <c r="Q34" s="159">
        <f t="shared" si="5"/>
        <v>0</v>
      </c>
      <c r="R34" s="159">
        <f t="shared" si="5"/>
        <v>0</v>
      </c>
    </row>
    <row r="35" spans="1:18" ht="38.25">
      <c r="A35" s="155">
        <v>30</v>
      </c>
      <c r="B35" s="156" t="s">
        <v>32</v>
      </c>
      <c r="C35" s="378" t="s">
        <v>175</v>
      </c>
      <c r="D35" s="157">
        <v>5500</v>
      </c>
      <c r="E35" s="155">
        <v>20</v>
      </c>
      <c r="F35" s="165" t="s">
        <v>176</v>
      </c>
      <c r="G35" s="157">
        <f t="shared" si="0"/>
        <v>5955</v>
      </c>
      <c r="H35" s="157">
        <v>5500</v>
      </c>
      <c r="I35" s="157">
        <v>455</v>
      </c>
      <c r="J35" s="157">
        <f t="shared" si="1"/>
        <v>138</v>
      </c>
      <c r="K35" s="157">
        <v>0</v>
      </c>
      <c r="L35" s="157">
        <v>138</v>
      </c>
      <c r="M35" s="157">
        <f t="shared" si="4"/>
        <v>138</v>
      </c>
      <c r="N35" s="157">
        <v>0</v>
      </c>
      <c r="O35" s="157">
        <v>138</v>
      </c>
      <c r="P35" s="159">
        <f t="shared" si="2"/>
        <v>5817</v>
      </c>
      <c r="Q35" s="159">
        <f t="shared" si="5"/>
        <v>5500</v>
      </c>
      <c r="R35" s="159">
        <f t="shared" si="5"/>
        <v>317</v>
      </c>
    </row>
    <row r="36" spans="1:18" ht="38.25">
      <c r="A36" s="155">
        <v>31</v>
      </c>
      <c r="B36" s="156" t="s">
        <v>32</v>
      </c>
      <c r="C36" s="378" t="s">
        <v>177</v>
      </c>
      <c r="D36" s="157">
        <v>9500</v>
      </c>
      <c r="E36" s="155">
        <v>20</v>
      </c>
      <c r="F36" s="165" t="s">
        <v>178</v>
      </c>
      <c r="G36" s="157">
        <f t="shared" si="0"/>
        <v>10286</v>
      </c>
      <c r="H36" s="157">
        <v>9500</v>
      </c>
      <c r="I36" s="157">
        <v>786</v>
      </c>
      <c r="J36" s="157">
        <f t="shared" si="1"/>
        <v>88</v>
      </c>
      <c r="K36" s="157">
        <v>0</v>
      </c>
      <c r="L36" s="157">
        <v>88</v>
      </c>
      <c r="M36" s="157">
        <f t="shared" si="4"/>
        <v>88</v>
      </c>
      <c r="N36" s="157">
        <v>0</v>
      </c>
      <c r="O36" s="157">
        <v>88</v>
      </c>
      <c r="P36" s="159">
        <f t="shared" si="2"/>
        <v>10198</v>
      </c>
      <c r="Q36" s="159">
        <f t="shared" si="5"/>
        <v>9500</v>
      </c>
      <c r="R36" s="159">
        <f t="shared" si="5"/>
        <v>698</v>
      </c>
    </row>
    <row r="37" spans="1:18" ht="38.25">
      <c r="A37" s="155">
        <v>32</v>
      </c>
      <c r="B37" s="156" t="s">
        <v>33</v>
      </c>
      <c r="C37" s="378" t="s">
        <v>179</v>
      </c>
      <c r="D37" s="157">
        <v>6000</v>
      </c>
      <c r="E37" s="155">
        <v>20</v>
      </c>
      <c r="F37" s="165" t="s">
        <v>180</v>
      </c>
      <c r="G37" s="157">
        <f t="shared" si="0"/>
        <v>6204</v>
      </c>
      <c r="H37" s="157">
        <v>6000</v>
      </c>
      <c r="I37" s="157">
        <v>204</v>
      </c>
      <c r="J37" s="157">
        <f t="shared" si="1"/>
        <v>13</v>
      </c>
      <c r="K37" s="157">
        <v>0</v>
      </c>
      <c r="L37" s="157">
        <v>13</v>
      </c>
      <c r="M37" s="157">
        <f t="shared" si="4"/>
        <v>13</v>
      </c>
      <c r="N37" s="157">
        <v>0</v>
      </c>
      <c r="O37" s="157">
        <v>13</v>
      </c>
      <c r="P37" s="159">
        <f t="shared" si="2"/>
        <v>6191</v>
      </c>
      <c r="Q37" s="159">
        <f t="shared" si="5"/>
        <v>6000</v>
      </c>
      <c r="R37" s="159">
        <f t="shared" si="5"/>
        <v>191</v>
      </c>
    </row>
    <row r="38" spans="1:18" ht="12.75">
      <c r="A38" s="168"/>
      <c r="B38" s="168"/>
      <c r="C38" s="378"/>
      <c r="D38" s="169">
        <f>SUM(D8:D18)</f>
        <v>210124</v>
      </c>
      <c r="E38" s="169"/>
      <c r="F38" s="169"/>
      <c r="G38" s="169">
        <f aca="true" t="shared" si="6" ref="G38:O38">SUM(G8:G18)</f>
        <v>193716</v>
      </c>
      <c r="H38" s="169">
        <f t="shared" si="6"/>
        <v>168486</v>
      </c>
      <c r="I38" s="169">
        <f t="shared" si="6"/>
        <v>25230</v>
      </c>
      <c r="J38" s="169">
        <f t="shared" si="6"/>
        <v>127309</v>
      </c>
      <c r="K38" s="169">
        <f t="shared" si="6"/>
        <v>109474</v>
      </c>
      <c r="L38" s="169">
        <f t="shared" si="6"/>
        <v>17835</v>
      </c>
      <c r="M38" s="169">
        <f t="shared" si="6"/>
        <v>127309</v>
      </c>
      <c r="N38" s="169">
        <f t="shared" si="6"/>
        <v>109474</v>
      </c>
      <c r="O38" s="169">
        <f t="shared" si="6"/>
        <v>17835</v>
      </c>
      <c r="P38" s="169">
        <f>SUM(P6:P37)</f>
        <v>204163</v>
      </c>
      <c r="Q38" s="169">
        <f>SUM(Q6:Q37)</f>
        <v>180837</v>
      </c>
      <c r="R38" s="169">
        <f>SUM(R6:R37)</f>
        <v>23326</v>
      </c>
    </row>
  </sheetData>
  <sheetProtection/>
  <mergeCells count="20">
    <mergeCell ref="E2:E5"/>
    <mergeCell ref="F2:F5"/>
    <mergeCell ref="A2:A5"/>
    <mergeCell ref="B2:B5"/>
    <mergeCell ref="C2:C5"/>
    <mergeCell ref="D2:D5"/>
    <mergeCell ref="G2:O2"/>
    <mergeCell ref="P2:R3"/>
    <mergeCell ref="G3:G5"/>
    <mergeCell ref="H3:I3"/>
    <mergeCell ref="J3:L3"/>
    <mergeCell ref="M3:O3"/>
    <mergeCell ref="H4:H5"/>
    <mergeCell ref="I4:I5"/>
    <mergeCell ref="P4:P5"/>
    <mergeCell ref="Q4:R4"/>
    <mergeCell ref="J4:J5"/>
    <mergeCell ref="K4:L4"/>
    <mergeCell ref="M4:M5"/>
    <mergeCell ref="N4:O4"/>
  </mergeCells>
  <printOptions/>
  <pageMargins left="0.75" right="0.75" top="1" bottom="1" header="0.5" footer="0.5"/>
  <pageSetup firstPageNumber="97" useFirstPageNumber="1" fitToHeight="5" fitToWidth="1" horizontalDpi="600" verticalDpi="600" orientation="landscape" paperSize="9" scale="7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38"/>
  <sheetViews>
    <sheetView view="pageBreakPreview" zoomScale="90" zoomScaleNormal="75" zoomScaleSheetLayoutView="90" zoomScalePageLayoutView="0" workbookViewId="0" topLeftCell="E1">
      <selection activeCell="J7" sqref="J7"/>
    </sheetView>
  </sheetViews>
  <sheetFormatPr defaultColWidth="9.00390625" defaultRowHeight="12.75"/>
  <cols>
    <col min="1" max="1" width="11.375" style="0" customWidth="1"/>
    <col min="2" max="2" width="11.375" style="60" customWidth="1"/>
    <col min="3" max="3" width="9.125" style="138" customWidth="1"/>
    <col min="4" max="4" width="11.875" style="138" customWidth="1"/>
    <col min="5" max="5" width="8.25390625" style="138" customWidth="1"/>
    <col min="6" max="6" width="10.375" style="138" customWidth="1"/>
    <col min="7" max="7" width="18.75390625" style="139" customWidth="1"/>
    <col min="8" max="8" width="58.75390625" style="60" customWidth="1"/>
    <col min="9" max="9" width="19.75390625" style="138" customWidth="1"/>
    <col min="10" max="10" width="20.25390625" style="140" customWidth="1"/>
  </cols>
  <sheetData>
    <row r="2" spans="8:10" ht="21" customHeight="1">
      <c r="H2" s="380"/>
      <c r="I2" s="412" t="s">
        <v>843</v>
      </c>
      <c r="J2" s="413"/>
    </row>
    <row r="3" spans="8:10" ht="18.75" customHeight="1">
      <c r="H3" s="382"/>
      <c r="I3" s="414" t="s">
        <v>1059</v>
      </c>
      <c r="J3" s="415"/>
    </row>
    <row r="4" spans="2:10" ht="28.5" customHeight="1">
      <c r="B4"/>
      <c r="C4"/>
      <c r="D4"/>
      <c r="E4"/>
      <c r="F4"/>
      <c r="G4" s="383"/>
      <c r="H4" s="382"/>
      <c r="I4" s="416" t="s">
        <v>1615</v>
      </c>
      <c r="J4" s="415"/>
    </row>
    <row r="5" spans="2:10" ht="13.5" customHeight="1">
      <c r="B5"/>
      <c r="C5"/>
      <c r="D5"/>
      <c r="E5"/>
      <c r="F5"/>
      <c r="G5" s="383"/>
      <c r="H5" s="382"/>
      <c r="I5" s="7"/>
      <c r="J5" s="6"/>
    </row>
    <row r="6" spans="2:10" ht="15" customHeight="1">
      <c r="B6"/>
      <c r="C6"/>
      <c r="D6"/>
      <c r="E6"/>
      <c r="F6"/>
      <c r="G6" s="383"/>
      <c r="H6"/>
      <c r="I6" s="22"/>
      <c r="J6" s="6"/>
    </row>
    <row r="7" spans="2:10" ht="18" customHeight="1">
      <c r="B7"/>
      <c r="C7"/>
      <c r="D7"/>
      <c r="E7"/>
      <c r="F7"/>
      <c r="G7" s="383"/>
      <c r="H7"/>
      <c r="I7" s="382"/>
      <c r="J7"/>
    </row>
    <row r="8" spans="1:10" ht="15.75">
      <c r="A8" s="565" t="s">
        <v>1052</v>
      </c>
      <c r="B8" s="565"/>
      <c r="C8" s="565"/>
      <c r="D8" s="565"/>
      <c r="E8" s="565"/>
      <c r="F8" s="565"/>
      <c r="G8" s="565"/>
      <c r="H8" s="565"/>
      <c r="I8" s="565"/>
      <c r="J8" s="565"/>
    </row>
    <row r="9" spans="1:10" ht="15" customHeight="1">
      <c r="A9" s="565" t="s">
        <v>1053</v>
      </c>
      <c r="B9" s="565"/>
      <c r="C9" s="565"/>
      <c r="D9" s="565"/>
      <c r="E9" s="565"/>
      <c r="F9" s="565"/>
      <c r="G9" s="565"/>
      <c r="H9" s="565"/>
      <c r="I9" s="565"/>
      <c r="J9" s="565"/>
    </row>
    <row r="10" spans="1:10" ht="18.75">
      <c r="A10" s="566" t="s">
        <v>690</v>
      </c>
      <c r="B10" s="566"/>
      <c r="C10" s="566"/>
      <c r="D10" s="566"/>
      <c r="E10" s="566"/>
      <c r="F10" s="566"/>
      <c r="G10" s="566"/>
      <c r="H10" s="566"/>
      <c r="I10" s="566"/>
      <c r="J10" s="566"/>
    </row>
    <row r="11" spans="1:10" ht="10.5" customHeight="1">
      <c r="A11" s="384"/>
      <c r="B11"/>
      <c r="C11" s="381"/>
      <c r="D11" s="381"/>
      <c r="E11" s="381"/>
      <c r="F11" s="381"/>
      <c r="G11" s="141"/>
      <c r="H11" s="381"/>
      <c r="I11" s="381"/>
      <c r="J11" s="381"/>
    </row>
    <row r="12" spans="1:10" ht="20.25" customHeight="1">
      <c r="A12" s="59"/>
      <c r="C12" s="381"/>
      <c r="D12" s="381"/>
      <c r="E12" s="381"/>
      <c r="F12" s="381"/>
      <c r="G12" s="141"/>
      <c r="H12" s="381"/>
      <c r="I12" s="59" t="s">
        <v>691</v>
      </c>
      <c r="J12" s="60"/>
    </row>
    <row r="13" spans="1:10" ht="23.25" customHeight="1">
      <c r="A13" s="567" t="s">
        <v>692</v>
      </c>
      <c r="B13" s="567" t="s">
        <v>1855</v>
      </c>
      <c r="C13" s="562" t="s">
        <v>1857</v>
      </c>
      <c r="D13" s="562" t="s">
        <v>1858</v>
      </c>
      <c r="E13" s="562" t="s">
        <v>1859</v>
      </c>
      <c r="F13" s="562" t="s">
        <v>1054</v>
      </c>
      <c r="G13" s="563" t="s">
        <v>438</v>
      </c>
      <c r="H13" s="564" t="s">
        <v>1860</v>
      </c>
      <c r="I13" s="564" t="s">
        <v>1861</v>
      </c>
      <c r="J13" s="569" t="s">
        <v>1856</v>
      </c>
    </row>
    <row r="14" spans="1:10" ht="70.5" customHeight="1">
      <c r="A14" s="568"/>
      <c r="B14" s="568"/>
      <c r="C14" s="562"/>
      <c r="D14" s="562"/>
      <c r="E14" s="562"/>
      <c r="F14" s="562"/>
      <c r="G14" s="563"/>
      <c r="H14" s="564"/>
      <c r="I14" s="564"/>
      <c r="J14" s="570"/>
    </row>
    <row r="15" spans="1:10" ht="32.25" customHeight="1">
      <c r="A15" s="198">
        <v>7000000</v>
      </c>
      <c r="B15" s="284"/>
      <c r="C15" s="61"/>
      <c r="D15" s="61"/>
      <c r="E15" s="61"/>
      <c r="F15" s="61"/>
      <c r="G15" s="296"/>
      <c r="H15" s="62"/>
      <c r="I15" s="62"/>
      <c r="J15" s="297"/>
    </row>
    <row r="16" spans="1:10" ht="43.5" customHeight="1">
      <c r="A16" s="198"/>
      <c r="B16" s="143"/>
      <c r="C16" s="142" t="s">
        <v>1530</v>
      </c>
      <c r="D16" s="142" t="s">
        <v>96</v>
      </c>
      <c r="E16" s="142" t="s">
        <v>88</v>
      </c>
      <c r="F16" s="65" t="s">
        <v>1863</v>
      </c>
      <c r="G16" s="195">
        <v>170000</v>
      </c>
      <c r="H16" s="180" t="s">
        <v>693</v>
      </c>
      <c r="I16" s="181" t="s">
        <v>1883</v>
      </c>
      <c r="J16" s="179">
        <v>170000</v>
      </c>
    </row>
    <row r="17" spans="1:10" ht="57.75" customHeight="1">
      <c r="A17" s="198"/>
      <c r="B17" s="143"/>
      <c r="C17" s="142" t="s">
        <v>1537</v>
      </c>
      <c r="D17" s="142" t="s">
        <v>34</v>
      </c>
      <c r="E17" s="142" t="s">
        <v>188</v>
      </c>
      <c r="F17" s="65" t="s">
        <v>1863</v>
      </c>
      <c r="G17" s="195">
        <v>45000</v>
      </c>
      <c r="H17" s="298" t="s">
        <v>1616</v>
      </c>
      <c r="I17" s="65" t="s">
        <v>1883</v>
      </c>
      <c r="J17" s="179">
        <v>45000</v>
      </c>
    </row>
    <row r="18" spans="1:10" ht="77.25" customHeight="1">
      <c r="A18" s="198"/>
      <c r="B18" s="143"/>
      <c r="C18" s="142" t="s">
        <v>1537</v>
      </c>
      <c r="D18" s="142" t="s">
        <v>34</v>
      </c>
      <c r="E18" s="142" t="s">
        <v>1837</v>
      </c>
      <c r="F18" s="65" t="s">
        <v>1863</v>
      </c>
      <c r="G18" s="195">
        <v>0</v>
      </c>
      <c r="H18" s="180" t="s">
        <v>1617</v>
      </c>
      <c r="I18" s="181" t="s">
        <v>444</v>
      </c>
      <c r="J18" s="179">
        <v>315000</v>
      </c>
    </row>
    <row r="19" spans="1:10" ht="27" customHeight="1">
      <c r="A19" s="299"/>
      <c r="B19" s="299"/>
      <c r="C19" s="63" t="s">
        <v>1864</v>
      </c>
      <c r="D19" s="63" t="s">
        <v>445</v>
      </c>
      <c r="E19" s="63" t="s">
        <v>1071</v>
      </c>
      <c r="F19" s="63" t="s">
        <v>1071</v>
      </c>
      <c r="G19" s="300">
        <f>SUM(G16:G18)</f>
        <v>215000</v>
      </c>
      <c r="H19" s="64" t="s">
        <v>446</v>
      </c>
      <c r="I19" s="184"/>
      <c r="J19" s="183">
        <f>SUM(J16:J18)</f>
        <v>530000</v>
      </c>
    </row>
    <row r="20" spans="1:10" ht="57" customHeight="1">
      <c r="A20" s="301"/>
      <c r="B20" s="301"/>
      <c r="C20" s="189" t="s">
        <v>1553</v>
      </c>
      <c r="D20" s="189" t="s">
        <v>1051</v>
      </c>
      <c r="E20" s="189" t="s">
        <v>801</v>
      </c>
      <c r="F20" s="190" t="s">
        <v>799</v>
      </c>
      <c r="G20" s="191">
        <v>24000</v>
      </c>
      <c r="H20" s="192" t="s">
        <v>1618</v>
      </c>
      <c r="I20" s="193" t="s">
        <v>209</v>
      </c>
      <c r="J20" s="196">
        <v>24000</v>
      </c>
    </row>
    <row r="21" spans="1:10" ht="24.75" customHeight="1">
      <c r="A21" s="302"/>
      <c r="B21" s="302"/>
      <c r="C21" s="385" t="s">
        <v>37</v>
      </c>
      <c r="D21" s="63" t="s">
        <v>1055</v>
      </c>
      <c r="E21" s="63" t="s">
        <v>1071</v>
      </c>
      <c r="F21" s="187" t="s">
        <v>1071</v>
      </c>
      <c r="G21" s="386">
        <f>SUM(G20:G20)</f>
        <v>24000</v>
      </c>
      <c r="H21" s="64" t="s">
        <v>447</v>
      </c>
      <c r="I21" s="184"/>
      <c r="J21" s="183">
        <f>SUM(J20:J20)</f>
        <v>24000</v>
      </c>
    </row>
    <row r="22" spans="1:10" ht="59.25" customHeight="1">
      <c r="A22" s="303"/>
      <c r="B22" s="303"/>
      <c r="C22" s="142" t="s">
        <v>1048</v>
      </c>
      <c r="D22" s="142" t="s">
        <v>431</v>
      </c>
      <c r="E22" s="142" t="s">
        <v>1880</v>
      </c>
      <c r="F22" s="142" t="s">
        <v>1889</v>
      </c>
      <c r="G22" s="196">
        <v>30000</v>
      </c>
      <c r="H22" s="66" t="s">
        <v>1619</v>
      </c>
      <c r="I22" s="181" t="s">
        <v>1883</v>
      </c>
      <c r="J22" s="179">
        <v>30000</v>
      </c>
    </row>
    <row r="23" spans="1:10" ht="56.25" customHeight="1">
      <c r="A23" s="303"/>
      <c r="B23" s="303"/>
      <c r="C23" s="142" t="s">
        <v>1048</v>
      </c>
      <c r="D23" s="142" t="s">
        <v>431</v>
      </c>
      <c r="E23" s="142" t="s">
        <v>1719</v>
      </c>
      <c r="F23" s="142" t="s">
        <v>1889</v>
      </c>
      <c r="G23" s="196">
        <v>30000</v>
      </c>
      <c r="H23" s="66" t="s">
        <v>1620</v>
      </c>
      <c r="I23" s="181" t="s">
        <v>1883</v>
      </c>
      <c r="J23" s="179">
        <v>30000</v>
      </c>
    </row>
    <row r="24" spans="1:10" ht="58.5" customHeight="1">
      <c r="A24" s="303"/>
      <c r="B24" s="303"/>
      <c r="C24" s="142" t="s">
        <v>1048</v>
      </c>
      <c r="D24" s="142" t="s">
        <v>431</v>
      </c>
      <c r="E24" s="142" t="s">
        <v>1719</v>
      </c>
      <c r="F24" s="142" t="s">
        <v>1889</v>
      </c>
      <c r="G24" s="196">
        <v>30000</v>
      </c>
      <c r="H24" s="66" t="s">
        <v>1621</v>
      </c>
      <c r="I24" s="181" t="s">
        <v>1883</v>
      </c>
      <c r="J24" s="179">
        <v>30000</v>
      </c>
    </row>
    <row r="25" spans="1:10" ht="24.75" customHeight="1">
      <c r="A25" s="182"/>
      <c r="B25" s="182"/>
      <c r="C25" s="63" t="s">
        <v>1551</v>
      </c>
      <c r="D25" s="63" t="s">
        <v>445</v>
      </c>
      <c r="E25" s="63" t="s">
        <v>1071</v>
      </c>
      <c r="F25" s="187" t="s">
        <v>1071</v>
      </c>
      <c r="G25" s="387">
        <f>SUM(G22:G24)</f>
        <v>90000</v>
      </c>
      <c r="H25" s="64" t="s">
        <v>449</v>
      </c>
      <c r="I25" s="184"/>
      <c r="J25" s="183">
        <f>SUM(J22:J24)</f>
        <v>90000</v>
      </c>
    </row>
    <row r="26" spans="1:10" ht="23.25" customHeight="1">
      <c r="A26" s="304"/>
      <c r="B26" s="305"/>
      <c r="C26" s="388"/>
      <c r="D26" s="388"/>
      <c r="E26" s="388"/>
      <c r="F26" s="388"/>
      <c r="G26" s="389">
        <f>G19+G21+G25</f>
        <v>329000</v>
      </c>
      <c r="H26" s="560" t="s">
        <v>510</v>
      </c>
      <c r="I26" s="561"/>
      <c r="J26" s="307">
        <f>J19+J21+J25</f>
        <v>644000</v>
      </c>
    </row>
    <row r="27" spans="1:10" ht="72.75" customHeight="1">
      <c r="A27" s="308"/>
      <c r="B27" s="309"/>
      <c r="C27" s="142" t="s">
        <v>1537</v>
      </c>
      <c r="D27" s="142" t="s">
        <v>34</v>
      </c>
      <c r="E27" s="142" t="s">
        <v>188</v>
      </c>
      <c r="F27" s="65" t="s">
        <v>1863</v>
      </c>
      <c r="G27" s="195">
        <v>34483</v>
      </c>
      <c r="H27" s="194" t="s">
        <v>1622</v>
      </c>
      <c r="I27" s="181" t="s">
        <v>1883</v>
      </c>
      <c r="J27" s="179">
        <v>34483</v>
      </c>
    </row>
    <row r="28" spans="1:10" ht="84" customHeight="1">
      <c r="A28" s="308"/>
      <c r="B28" s="309"/>
      <c r="C28" s="142" t="s">
        <v>1537</v>
      </c>
      <c r="D28" s="142" t="s">
        <v>34</v>
      </c>
      <c r="E28" s="142" t="s">
        <v>1837</v>
      </c>
      <c r="F28" s="65" t="s">
        <v>1885</v>
      </c>
      <c r="G28" s="195">
        <v>145000</v>
      </c>
      <c r="H28" s="180" t="s">
        <v>1617</v>
      </c>
      <c r="I28" s="181" t="s">
        <v>232</v>
      </c>
      <c r="J28" s="179">
        <v>0</v>
      </c>
    </row>
    <row r="29" spans="1:10" ht="89.25" customHeight="1">
      <c r="A29" s="308"/>
      <c r="B29" s="309"/>
      <c r="C29" s="142" t="s">
        <v>1537</v>
      </c>
      <c r="D29" s="142" t="s">
        <v>34</v>
      </c>
      <c r="E29" s="142" t="s">
        <v>188</v>
      </c>
      <c r="F29" s="65" t="s">
        <v>1863</v>
      </c>
      <c r="G29" s="195">
        <v>0</v>
      </c>
      <c r="H29" s="194" t="s">
        <v>1623</v>
      </c>
      <c r="I29" s="181" t="s">
        <v>1883</v>
      </c>
      <c r="J29" s="179">
        <v>53000</v>
      </c>
    </row>
    <row r="30" spans="1:10" ht="54.75" customHeight="1">
      <c r="A30" s="308"/>
      <c r="B30" s="309"/>
      <c r="C30" s="142" t="s">
        <v>1537</v>
      </c>
      <c r="D30" s="142" t="s">
        <v>34</v>
      </c>
      <c r="E30" s="142" t="s">
        <v>188</v>
      </c>
      <c r="F30" s="65" t="s">
        <v>1863</v>
      </c>
      <c r="G30" s="195">
        <v>64443</v>
      </c>
      <c r="H30" s="194" t="s">
        <v>1624</v>
      </c>
      <c r="I30" s="181" t="s">
        <v>1883</v>
      </c>
      <c r="J30" s="179">
        <v>64443</v>
      </c>
    </row>
    <row r="31" spans="1:10" ht="36.75" customHeight="1">
      <c r="A31" s="308"/>
      <c r="B31" s="309"/>
      <c r="C31" s="142" t="s">
        <v>1537</v>
      </c>
      <c r="D31" s="142" t="s">
        <v>34</v>
      </c>
      <c r="E31" s="142" t="s">
        <v>1837</v>
      </c>
      <c r="F31" s="65" t="s">
        <v>1886</v>
      </c>
      <c r="G31" s="195">
        <v>98496</v>
      </c>
      <c r="H31" s="194" t="s">
        <v>1625</v>
      </c>
      <c r="I31" s="181" t="s">
        <v>1883</v>
      </c>
      <c r="J31" s="179">
        <v>226403</v>
      </c>
    </row>
    <row r="32" spans="1:10" ht="27" customHeight="1">
      <c r="A32" s="390"/>
      <c r="B32" s="391"/>
      <c r="C32" s="63" t="s">
        <v>1864</v>
      </c>
      <c r="D32" s="63" t="s">
        <v>445</v>
      </c>
      <c r="E32" s="63" t="s">
        <v>1071</v>
      </c>
      <c r="F32" s="63" t="s">
        <v>1071</v>
      </c>
      <c r="G32" s="300">
        <f>SUM(G27:G31)</f>
        <v>342422</v>
      </c>
      <c r="H32" s="64" t="s">
        <v>446</v>
      </c>
      <c r="I32" s="184"/>
      <c r="J32" s="183">
        <f>SUM(J27:J31)</f>
        <v>378329</v>
      </c>
    </row>
    <row r="33" spans="1:10" ht="57.75" customHeight="1">
      <c r="A33" s="308"/>
      <c r="B33" s="309"/>
      <c r="C33" s="186" t="s">
        <v>435</v>
      </c>
      <c r="D33" s="186" t="s">
        <v>1626</v>
      </c>
      <c r="E33" s="186" t="s">
        <v>1637</v>
      </c>
      <c r="F33" s="186" t="s">
        <v>799</v>
      </c>
      <c r="G33" s="196">
        <v>772701.4</v>
      </c>
      <c r="H33" s="185" t="s">
        <v>1627</v>
      </c>
      <c r="I33" s="181" t="s">
        <v>1883</v>
      </c>
      <c r="J33" s="179">
        <v>772702</v>
      </c>
    </row>
    <row r="34" spans="1:10" ht="27.75" customHeight="1">
      <c r="A34" s="390"/>
      <c r="B34" s="391"/>
      <c r="C34" s="63" t="s">
        <v>1056</v>
      </c>
      <c r="D34" s="63" t="s">
        <v>445</v>
      </c>
      <c r="E34" s="63" t="s">
        <v>1071</v>
      </c>
      <c r="F34" s="63" t="s">
        <v>1071</v>
      </c>
      <c r="G34" s="300">
        <f>SUM(G33)</f>
        <v>772701.4</v>
      </c>
      <c r="H34" s="64" t="s">
        <v>1628</v>
      </c>
      <c r="I34" s="184"/>
      <c r="J34" s="183">
        <f>SUM(J33)</f>
        <v>772702</v>
      </c>
    </row>
    <row r="35" spans="1:10" ht="42.75" customHeight="1">
      <c r="A35" s="308"/>
      <c r="B35" s="309"/>
      <c r="C35" s="186" t="s">
        <v>1888</v>
      </c>
      <c r="D35" s="186" t="s">
        <v>1062</v>
      </c>
      <c r="E35" s="186" t="s">
        <v>1837</v>
      </c>
      <c r="F35" s="186" t="s">
        <v>1862</v>
      </c>
      <c r="G35" s="196">
        <v>0</v>
      </c>
      <c r="H35" s="185" t="s">
        <v>1629</v>
      </c>
      <c r="I35" s="181" t="s">
        <v>1883</v>
      </c>
      <c r="J35" s="179">
        <v>629335</v>
      </c>
    </row>
    <row r="36" spans="1:10" ht="68.25" customHeight="1">
      <c r="A36" s="308"/>
      <c r="B36" s="309"/>
      <c r="C36" s="186" t="s">
        <v>1888</v>
      </c>
      <c r="D36" s="186" t="s">
        <v>1062</v>
      </c>
      <c r="E36" s="186" t="s">
        <v>1837</v>
      </c>
      <c r="F36" s="186" t="s">
        <v>1862</v>
      </c>
      <c r="G36" s="196">
        <v>0</v>
      </c>
      <c r="H36" s="194" t="s">
        <v>1630</v>
      </c>
      <c r="I36" s="181" t="s">
        <v>1883</v>
      </c>
      <c r="J36" s="179">
        <v>60840</v>
      </c>
    </row>
    <row r="37" spans="1:10" s="67" customFormat="1" ht="27" customHeight="1">
      <c r="A37" s="390"/>
      <c r="B37" s="391"/>
      <c r="C37" s="63" t="s">
        <v>433</v>
      </c>
      <c r="D37" s="63" t="s">
        <v>445</v>
      </c>
      <c r="E37" s="63" t="s">
        <v>1071</v>
      </c>
      <c r="F37" s="63" t="s">
        <v>1071</v>
      </c>
      <c r="G37" s="300">
        <f>SUM(G35:G36)</f>
        <v>0</v>
      </c>
      <c r="H37" s="64" t="s">
        <v>1865</v>
      </c>
      <c r="I37" s="184"/>
      <c r="J37" s="183">
        <f>SUM(J35:J36)</f>
        <v>690175</v>
      </c>
    </row>
    <row r="38" spans="1:10" s="67" customFormat="1" ht="56.25" customHeight="1">
      <c r="A38" s="303"/>
      <c r="B38" s="303"/>
      <c r="C38" s="142" t="s">
        <v>1048</v>
      </c>
      <c r="D38" s="142" t="s">
        <v>431</v>
      </c>
      <c r="E38" s="142" t="s">
        <v>1719</v>
      </c>
      <c r="F38" s="142" t="s">
        <v>1889</v>
      </c>
      <c r="G38" s="196">
        <v>30000</v>
      </c>
      <c r="H38" s="66" t="s">
        <v>1631</v>
      </c>
      <c r="I38" s="181" t="s">
        <v>1883</v>
      </c>
      <c r="J38" s="179">
        <v>30000</v>
      </c>
    </row>
    <row r="39" spans="1:10" s="67" customFormat="1" ht="55.5" customHeight="1">
      <c r="A39" s="303"/>
      <c r="B39" s="303"/>
      <c r="C39" s="142" t="s">
        <v>1048</v>
      </c>
      <c r="D39" s="142" t="s">
        <v>431</v>
      </c>
      <c r="E39" s="142" t="s">
        <v>1719</v>
      </c>
      <c r="F39" s="142" t="s">
        <v>1889</v>
      </c>
      <c r="G39" s="196">
        <v>30000</v>
      </c>
      <c r="H39" s="66" t="s">
        <v>1632</v>
      </c>
      <c r="I39" s="181" t="s">
        <v>1883</v>
      </c>
      <c r="J39" s="179">
        <v>30000</v>
      </c>
    </row>
    <row r="40" spans="1:10" s="67" customFormat="1" ht="56.25" customHeight="1">
      <c r="A40" s="303"/>
      <c r="B40" s="303"/>
      <c r="C40" s="142" t="s">
        <v>1048</v>
      </c>
      <c r="D40" s="142" t="s">
        <v>431</v>
      </c>
      <c r="E40" s="142" t="s">
        <v>1719</v>
      </c>
      <c r="F40" s="142" t="s">
        <v>1889</v>
      </c>
      <c r="G40" s="196">
        <v>60000</v>
      </c>
      <c r="H40" s="66" t="s">
        <v>1633</v>
      </c>
      <c r="I40" s="181" t="s">
        <v>1883</v>
      </c>
      <c r="J40" s="179">
        <v>60000</v>
      </c>
    </row>
    <row r="41" spans="1:10" ht="57" customHeight="1">
      <c r="A41" s="303"/>
      <c r="B41" s="303"/>
      <c r="C41" s="142" t="s">
        <v>1048</v>
      </c>
      <c r="D41" s="142" t="s">
        <v>431</v>
      </c>
      <c r="E41" s="142" t="s">
        <v>1719</v>
      </c>
      <c r="F41" s="142" t="s">
        <v>1889</v>
      </c>
      <c r="G41" s="196">
        <v>150000</v>
      </c>
      <c r="H41" s="66" t="s">
        <v>1634</v>
      </c>
      <c r="I41" s="181" t="s">
        <v>1883</v>
      </c>
      <c r="J41" s="179">
        <v>150000</v>
      </c>
    </row>
    <row r="42" spans="1:10" ht="52.5" customHeight="1">
      <c r="A42" s="303"/>
      <c r="B42" s="303"/>
      <c r="C42" s="142" t="s">
        <v>1048</v>
      </c>
      <c r="D42" s="142" t="s">
        <v>431</v>
      </c>
      <c r="E42" s="142" t="s">
        <v>1719</v>
      </c>
      <c r="F42" s="142" t="s">
        <v>1889</v>
      </c>
      <c r="G42" s="196">
        <v>30000</v>
      </c>
      <c r="H42" s="66" t="s">
        <v>1635</v>
      </c>
      <c r="I42" s="181" t="s">
        <v>1883</v>
      </c>
      <c r="J42" s="179">
        <v>30000</v>
      </c>
    </row>
    <row r="43" spans="1:10" ht="69" customHeight="1">
      <c r="A43" s="303"/>
      <c r="B43" s="303"/>
      <c r="C43" s="142" t="s">
        <v>1048</v>
      </c>
      <c r="D43" s="142" t="s">
        <v>431</v>
      </c>
      <c r="E43" s="142" t="s">
        <v>1719</v>
      </c>
      <c r="F43" s="142" t="s">
        <v>1889</v>
      </c>
      <c r="G43" s="196">
        <v>90000</v>
      </c>
      <c r="H43" s="66" t="s">
        <v>1149</v>
      </c>
      <c r="I43" s="181" t="s">
        <v>1883</v>
      </c>
      <c r="J43" s="179">
        <v>90000</v>
      </c>
    </row>
    <row r="44" spans="1:10" ht="55.5" customHeight="1">
      <c r="A44" s="303"/>
      <c r="B44" s="303"/>
      <c r="C44" s="142" t="s">
        <v>1048</v>
      </c>
      <c r="D44" s="142" t="s">
        <v>431</v>
      </c>
      <c r="E44" s="142" t="s">
        <v>1719</v>
      </c>
      <c r="F44" s="142" t="s">
        <v>1889</v>
      </c>
      <c r="G44" s="196">
        <v>300000</v>
      </c>
      <c r="H44" s="66" t="s">
        <v>1150</v>
      </c>
      <c r="I44" s="181" t="s">
        <v>1883</v>
      </c>
      <c r="J44" s="179">
        <v>300000</v>
      </c>
    </row>
    <row r="45" spans="1:10" ht="56.25" customHeight="1">
      <c r="A45" s="303"/>
      <c r="B45" s="303"/>
      <c r="C45" s="142" t="s">
        <v>1048</v>
      </c>
      <c r="D45" s="142" t="s">
        <v>431</v>
      </c>
      <c r="E45" s="142" t="s">
        <v>1719</v>
      </c>
      <c r="F45" s="142" t="s">
        <v>1889</v>
      </c>
      <c r="G45" s="196">
        <v>30000</v>
      </c>
      <c r="H45" s="66" t="s">
        <v>1151</v>
      </c>
      <c r="I45" s="181" t="s">
        <v>1883</v>
      </c>
      <c r="J45" s="179">
        <v>30000</v>
      </c>
    </row>
    <row r="46" spans="1:10" ht="53.25" customHeight="1">
      <c r="A46" s="303"/>
      <c r="B46" s="303"/>
      <c r="C46" s="142" t="s">
        <v>1048</v>
      </c>
      <c r="D46" s="142" t="s">
        <v>431</v>
      </c>
      <c r="E46" s="142" t="s">
        <v>1719</v>
      </c>
      <c r="F46" s="142" t="s">
        <v>1889</v>
      </c>
      <c r="G46" s="196">
        <v>0</v>
      </c>
      <c r="H46" s="66" t="s">
        <v>1152</v>
      </c>
      <c r="I46" s="181" t="s">
        <v>1883</v>
      </c>
      <c r="J46" s="179">
        <v>30000</v>
      </c>
    </row>
    <row r="47" spans="1:10" ht="58.5" customHeight="1">
      <c r="A47" s="303"/>
      <c r="B47" s="303"/>
      <c r="C47" s="142" t="s">
        <v>1048</v>
      </c>
      <c r="D47" s="142" t="s">
        <v>431</v>
      </c>
      <c r="E47" s="142" t="s">
        <v>1719</v>
      </c>
      <c r="F47" s="142" t="s">
        <v>1889</v>
      </c>
      <c r="G47" s="196">
        <v>0</v>
      </c>
      <c r="H47" s="66" t="s">
        <v>1153</v>
      </c>
      <c r="I47" s="181" t="s">
        <v>1883</v>
      </c>
      <c r="J47" s="179">
        <v>30000</v>
      </c>
    </row>
    <row r="48" spans="1:10" ht="67.5" customHeight="1">
      <c r="A48" s="303"/>
      <c r="B48" s="303"/>
      <c r="C48" s="142" t="s">
        <v>1048</v>
      </c>
      <c r="D48" s="142" t="s">
        <v>431</v>
      </c>
      <c r="E48" s="142" t="s">
        <v>1719</v>
      </c>
      <c r="F48" s="142" t="s">
        <v>1889</v>
      </c>
      <c r="G48" s="196">
        <v>0</v>
      </c>
      <c r="H48" s="66" t="s">
        <v>1154</v>
      </c>
      <c r="I48" s="181" t="s">
        <v>1883</v>
      </c>
      <c r="J48" s="179">
        <v>30000</v>
      </c>
    </row>
    <row r="49" spans="1:10" ht="66" customHeight="1">
      <c r="A49" s="303"/>
      <c r="B49" s="303"/>
      <c r="C49" s="142" t="s">
        <v>1048</v>
      </c>
      <c r="D49" s="142" t="s">
        <v>431</v>
      </c>
      <c r="E49" s="142" t="s">
        <v>1719</v>
      </c>
      <c r="F49" s="142" t="s">
        <v>1889</v>
      </c>
      <c r="G49" s="196">
        <v>30000</v>
      </c>
      <c r="H49" s="66" t="s">
        <v>1155</v>
      </c>
      <c r="I49" s="181" t="s">
        <v>1883</v>
      </c>
      <c r="J49" s="179">
        <v>30000</v>
      </c>
    </row>
    <row r="50" spans="1:10" ht="63" customHeight="1">
      <c r="A50" s="303"/>
      <c r="B50" s="303"/>
      <c r="C50" s="142" t="s">
        <v>1048</v>
      </c>
      <c r="D50" s="142" t="s">
        <v>431</v>
      </c>
      <c r="E50" s="142" t="s">
        <v>1719</v>
      </c>
      <c r="F50" s="142" t="s">
        <v>1889</v>
      </c>
      <c r="G50" s="196">
        <v>90000</v>
      </c>
      <c r="H50" s="66" t="s">
        <v>1557</v>
      </c>
      <c r="I50" s="181" t="s">
        <v>1883</v>
      </c>
      <c r="J50" s="179">
        <v>90000</v>
      </c>
    </row>
    <row r="51" spans="1:10" ht="29.25" customHeight="1">
      <c r="A51" s="182"/>
      <c r="B51" s="182"/>
      <c r="C51" s="63" t="s">
        <v>1551</v>
      </c>
      <c r="D51" s="63" t="s">
        <v>445</v>
      </c>
      <c r="E51" s="63" t="s">
        <v>1071</v>
      </c>
      <c r="F51" s="187" t="s">
        <v>1071</v>
      </c>
      <c r="G51" s="392">
        <f>SUM(G38:G50)</f>
        <v>840000</v>
      </c>
      <c r="H51" s="64" t="s">
        <v>449</v>
      </c>
      <c r="I51" s="184"/>
      <c r="J51" s="183">
        <f>SUM(J38:J50)</f>
        <v>930000</v>
      </c>
    </row>
    <row r="52" spans="1:10" ht="27.75" customHeight="1">
      <c r="A52" s="305"/>
      <c r="B52" s="305"/>
      <c r="C52" s="310"/>
      <c r="D52" s="310"/>
      <c r="E52" s="310"/>
      <c r="F52" s="310"/>
      <c r="G52" s="306">
        <f>G32+G51+G34+G37</f>
        <v>1955123.4</v>
      </c>
      <c r="H52" s="393" t="s">
        <v>1887</v>
      </c>
      <c r="I52" s="310"/>
      <c r="J52" s="307">
        <f>J32+J51+J34+J37</f>
        <v>2771206</v>
      </c>
    </row>
    <row r="53" spans="1:10" ht="25.5" customHeight="1">
      <c r="A53" s="305"/>
      <c r="B53" s="305"/>
      <c r="C53" s="310"/>
      <c r="D53" s="310"/>
      <c r="E53" s="310"/>
      <c r="F53" s="310"/>
      <c r="G53" s="306">
        <f>G26+G52</f>
        <v>2284123.4</v>
      </c>
      <c r="H53" s="393" t="s">
        <v>565</v>
      </c>
      <c r="I53" s="310"/>
      <c r="J53" s="307">
        <f>J26+J52</f>
        <v>3415206</v>
      </c>
    </row>
    <row r="54" spans="1:10" ht="54.75" customHeight="1">
      <c r="A54" s="312"/>
      <c r="B54" s="312"/>
      <c r="C54" s="142" t="s">
        <v>1537</v>
      </c>
      <c r="D54" s="142" t="s">
        <v>1760</v>
      </c>
      <c r="E54" s="142" t="s">
        <v>1837</v>
      </c>
      <c r="F54" s="65" t="s">
        <v>233</v>
      </c>
      <c r="G54" s="191">
        <v>0</v>
      </c>
      <c r="H54" s="194" t="s">
        <v>1558</v>
      </c>
      <c r="I54" s="313" t="s">
        <v>1559</v>
      </c>
      <c r="J54" s="196">
        <v>45252</v>
      </c>
    </row>
    <row r="55" spans="1:10" ht="41.25" customHeight="1">
      <c r="A55" s="312"/>
      <c r="B55" s="312"/>
      <c r="C55" s="142" t="s">
        <v>1537</v>
      </c>
      <c r="D55" s="142" t="s">
        <v>34</v>
      </c>
      <c r="E55" s="142" t="s">
        <v>1837</v>
      </c>
      <c r="F55" s="65" t="s">
        <v>1886</v>
      </c>
      <c r="G55" s="191">
        <v>84000</v>
      </c>
      <c r="H55" s="194" t="s">
        <v>1560</v>
      </c>
      <c r="I55" s="181" t="s">
        <v>1883</v>
      </c>
      <c r="J55" s="196">
        <v>84000</v>
      </c>
    </row>
    <row r="56" spans="1:10" ht="52.5" customHeight="1">
      <c r="A56" s="312"/>
      <c r="B56" s="312"/>
      <c r="C56" s="142" t="s">
        <v>1537</v>
      </c>
      <c r="D56" s="142" t="s">
        <v>34</v>
      </c>
      <c r="E56" s="142" t="s">
        <v>1837</v>
      </c>
      <c r="F56" s="65" t="s">
        <v>1886</v>
      </c>
      <c r="G56" s="191">
        <v>65000</v>
      </c>
      <c r="H56" s="194" t="s">
        <v>1561</v>
      </c>
      <c r="I56" s="181" t="s">
        <v>1883</v>
      </c>
      <c r="J56" s="196">
        <v>65000</v>
      </c>
    </row>
    <row r="57" spans="1:10" ht="54" customHeight="1">
      <c r="A57" s="312"/>
      <c r="B57" s="312"/>
      <c r="C57" s="142" t="s">
        <v>1537</v>
      </c>
      <c r="D57" s="142" t="s">
        <v>34</v>
      </c>
      <c r="E57" s="142" t="s">
        <v>188</v>
      </c>
      <c r="F57" s="65" t="s">
        <v>1863</v>
      </c>
      <c r="G57" s="191">
        <v>30000</v>
      </c>
      <c r="H57" s="194" t="s">
        <v>1562</v>
      </c>
      <c r="I57" s="181" t="s">
        <v>1883</v>
      </c>
      <c r="J57" s="196">
        <v>30000</v>
      </c>
    </row>
    <row r="58" spans="1:10" ht="39.75" customHeight="1">
      <c r="A58" s="312"/>
      <c r="B58" s="312"/>
      <c r="C58" s="142" t="s">
        <v>1537</v>
      </c>
      <c r="D58" s="142" t="s">
        <v>34</v>
      </c>
      <c r="E58" s="142" t="s">
        <v>1837</v>
      </c>
      <c r="F58" s="65" t="s">
        <v>1886</v>
      </c>
      <c r="G58" s="195">
        <v>74882.99</v>
      </c>
      <c r="H58" s="194" t="s">
        <v>1625</v>
      </c>
      <c r="I58" s="181" t="s">
        <v>1235</v>
      </c>
      <c r="J58" s="179">
        <v>0</v>
      </c>
    </row>
    <row r="59" spans="1:10" s="37" customFormat="1" ht="26.25" customHeight="1">
      <c r="A59" s="392"/>
      <c r="B59" s="392"/>
      <c r="C59" s="63" t="s">
        <v>1864</v>
      </c>
      <c r="D59" s="63" t="s">
        <v>445</v>
      </c>
      <c r="E59" s="63" t="s">
        <v>1071</v>
      </c>
      <c r="F59" s="63" t="s">
        <v>1071</v>
      </c>
      <c r="G59" s="188">
        <f>SUM(G54:G58)</f>
        <v>253882.99</v>
      </c>
      <c r="H59" s="64" t="s">
        <v>446</v>
      </c>
      <c r="I59" s="394"/>
      <c r="J59" s="183">
        <f>SUM(J54:J58)</f>
        <v>224252</v>
      </c>
    </row>
    <row r="60" spans="1:10" s="37" customFormat="1" ht="75.75" customHeight="1">
      <c r="A60" s="312"/>
      <c r="B60" s="312"/>
      <c r="C60" s="186" t="s">
        <v>435</v>
      </c>
      <c r="D60" s="186" t="s">
        <v>940</v>
      </c>
      <c r="E60" s="186" t="s">
        <v>1837</v>
      </c>
      <c r="F60" s="186" t="s">
        <v>233</v>
      </c>
      <c r="G60" s="315">
        <v>0</v>
      </c>
      <c r="H60" s="185" t="s">
        <v>1563</v>
      </c>
      <c r="I60" s="181" t="s">
        <v>1883</v>
      </c>
      <c r="J60" s="179">
        <v>480700</v>
      </c>
    </row>
    <row r="61" spans="1:10" s="67" customFormat="1" ht="28.5" customHeight="1">
      <c r="A61" s="392"/>
      <c r="B61" s="392"/>
      <c r="C61" s="63" t="s">
        <v>1056</v>
      </c>
      <c r="D61" s="63" t="s">
        <v>445</v>
      </c>
      <c r="E61" s="63" t="s">
        <v>1071</v>
      </c>
      <c r="F61" s="63" t="s">
        <v>1071</v>
      </c>
      <c r="G61" s="188">
        <f>SUM(G60)</f>
        <v>0</v>
      </c>
      <c r="H61" s="64" t="s">
        <v>1628</v>
      </c>
      <c r="I61" s="394"/>
      <c r="J61" s="183">
        <f>SUM(J60)</f>
        <v>480700</v>
      </c>
    </row>
    <row r="62" spans="1:10" s="68" customFormat="1" ht="56.25" customHeight="1">
      <c r="A62" s="395"/>
      <c r="B62" s="395"/>
      <c r="C62" s="186" t="s">
        <v>1888</v>
      </c>
      <c r="D62" s="186" t="s">
        <v>1062</v>
      </c>
      <c r="E62" s="186" t="s">
        <v>1637</v>
      </c>
      <c r="F62" s="186" t="s">
        <v>1564</v>
      </c>
      <c r="G62" s="315">
        <v>0</v>
      </c>
      <c r="H62" s="185" t="s">
        <v>1565</v>
      </c>
      <c r="I62" s="181" t="s">
        <v>1883</v>
      </c>
      <c r="J62" s="179">
        <v>270697</v>
      </c>
    </row>
    <row r="63" spans="1:10" s="68" customFormat="1" ht="24.75" customHeight="1">
      <c r="A63" s="392"/>
      <c r="B63" s="392"/>
      <c r="C63" s="63" t="s">
        <v>433</v>
      </c>
      <c r="D63" s="63" t="s">
        <v>445</v>
      </c>
      <c r="E63" s="63" t="s">
        <v>1071</v>
      </c>
      <c r="F63" s="63" t="s">
        <v>1071</v>
      </c>
      <c r="G63" s="188">
        <f>SUM(G62)</f>
        <v>0</v>
      </c>
      <c r="H63" s="64" t="s">
        <v>1865</v>
      </c>
      <c r="I63" s="394"/>
      <c r="J63" s="183">
        <f>SUM(J62)</f>
        <v>270697</v>
      </c>
    </row>
    <row r="64" spans="1:10" s="68" customFormat="1" ht="62.25" customHeight="1">
      <c r="A64" s="303"/>
      <c r="B64" s="303"/>
      <c r="C64" s="142" t="s">
        <v>1048</v>
      </c>
      <c r="D64" s="142" t="s">
        <v>431</v>
      </c>
      <c r="E64" s="142" t="s">
        <v>1719</v>
      </c>
      <c r="F64" s="142" t="s">
        <v>1889</v>
      </c>
      <c r="G64" s="196">
        <v>30000</v>
      </c>
      <c r="H64" s="66" t="s">
        <v>1152</v>
      </c>
      <c r="I64" s="181" t="s">
        <v>1235</v>
      </c>
      <c r="J64" s="179">
        <v>0</v>
      </c>
    </row>
    <row r="65" spans="1:10" s="68" customFormat="1" ht="65.25" customHeight="1">
      <c r="A65" s="303"/>
      <c r="B65" s="303"/>
      <c r="C65" s="142" t="s">
        <v>1048</v>
      </c>
      <c r="D65" s="142" t="s">
        <v>431</v>
      </c>
      <c r="E65" s="142" t="s">
        <v>1719</v>
      </c>
      <c r="F65" s="142" t="s">
        <v>1889</v>
      </c>
      <c r="G65" s="196">
        <v>30000</v>
      </c>
      <c r="H65" s="66" t="s">
        <v>1153</v>
      </c>
      <c r="I65" s="181" t="s">
        <v>1235</v>
      </c>
      <c r="J65" s="179">
        <v>0</v>
      </c>
    </row>
    <row r="66" spans="1:10" ht="58.5" customHeight="1">
      <c r="A66" s="303"/>
      <c r="B66" s="303"/>
      <c r="C66" s="142" t="s">
        <v>1048</v>
      </c>
      <c r="D66" s="142" t="s">
        <v>431</v>
      </c>
      <c r="E66" s="142" t="s">
        <v>1719</v>
      </c>
      <c r="F66" s="142" t="s">
        <v>1889</v>
      </c>
      <c r="G66" s="196">
        <v>30000</v>
      </c>
      <c r="H66" s="66" t="s">
        <v>1154</v>
      </c>
      <c r="I66" s="181" t="s">
        <v>1235</v>
      </c>
      <c r="J66" s="179">
        <v>0</v>
      </c>
    </row>
    <row r="67" spans="1:10" ht="71.25" customHeight="1">
      <c r="A67" s="303"/>
      <c r="B67" s="303"/>
      <c r="C67" s="142" t="s">
        <v>1048</v>
      </c>
      <c r="D67" s="142" t="s">
        <v>431</v>
      </c>
      <c r="E67" s="142" t="s">
        <v>1719</v>
      </c>
      <c r="F67" s="142" t="s">
        <v>1889</v>
      </c>
      <c r="G67" s="196">
        <v>30000</v>
      </c>
      <c r="H67" s="66" t="s">
        <v>1566</v>
      </c>
      <c r="I67" s="181" t="s">
        <v>1883</v>
      </c>
      <c r="J67" s="196">
        <v>30000</v>
      </c>
    </row>
    <row r="68" spans="1:10" ht="69.75" customHeight="1">
      <c r="A68" s="303"/>
      <c r="B68" s="303"/>
      <c r="C68" s="142" t="s">
        <v>1048</v>
      </c>
      <c r="D68" s="142" t="s">
        <v>431</v>
      </c>
      <c r="E68" s="142" t="s">
        <v>1719</v>
      </c>
      <c r="F68" s="142" t="s">
        <v>1889</v>
      </c>
      <c r="G68" s="196">
        <v>30000</v>
      </c>
      <c r="H68" s="66" t="s">
        <v>1567</v>
      </c>
      <c r="I68" s="181" t="s">
        <v>1883</v>
      </c>
      <c r="J68" s="196">
        <v>30000</v>
      </c>
    </row>
    <row r="69" spans="1:10" ht="78" customHeight="1">
      <c r="A69" s="303"/>
      <c r="B69" s="303"/>
      <c r="C69" s="142" t="s">
        <v>1048</v>
      </c>
      <c r="D69" s="142" t="s">
        <v>431</v>
      </c>
      <c r="E69" s="142" t="s">
        <v>1719</v>
      </c>
      <c r="F69" s="142" t="s">
        <v>1889</v>
      </c>
      <c r="G69" s="196">
        <v>30000</v>
      </c>
      <c r="H69" s="66" t="s">
        <v>1568</v>
      </c>
      <c r="I69" s="181" t="s">
        <v>1883</v>
      </c>
      <c r="J69" s="196">
        <v>30000</v>
      </c>
    </row>
    <row r="70" spans="1:10" ht="67.5" customHeight="1">
      <c r="A70" s="303"/>
      <c r="B70" s="303"/>
      <c r="C70" s="142" t="s">
        <v>1048</v>
      </c>
      <c r="D70" s="142" t="s">
        <v>431</v>
      </c>
      <c r="E70" s="142" t="s">
        <v>1719</v>
      </c>
      <c r="F70" s="142" t="s">
        <v>1889</v>
      </c>
      <c r="G70" s="196">
        <v>50000</v>
      </c>
      <c r="H70" s="66" t="s">
        <v>1569</v>
      </c>
      <c r="I70" s="181" t="s">
        <v>1883</v>
      </c>
      <c r="J70" s="196">
        <v>50000</v>
      </c>
    </row>
    <row r="71" spans="1:10" ht="66" customHeight="1">
      <c r="A71" s="303"/>
      <c r="B71" s="303"/>
      <c r="C71" s="142" t="s">
        <v>1048</v>
      </c>
      <c r="D71" s="142" t="s">
        <v>431</v>
      </c>
      <c r="E71" s="142" t="s">
        <v>1719</v>
      </c>
      <c r="F71" s="142" t="s">
        <v>1889</v>
      </c>
      <c r="G71" s="196">
        <v>50000</v>
      </c>
      <c r="H71" s="66" t="s">
        <v>1570</v>
      </c>
      <c r="I71" s="181" t="s">
        <v>1883</v>
      </c>
      <c r="J71" s="179">
        <v>50000</v>
      </c>
    </row>
    <row r="72" spans="1:10" ht="68.25" customHeight="1">
      <c r="A72" s="303"/>
      <c r="B72" s="303"/>
      <c r="C72" s="142" t="s">
        <v>1048</v>
      </c>
      <c r="D72" s="142" t="s">
        <v>431</v>
      </c>
      <c r="E72" s="142" t="s">
        <v>1719</v>
      </c>
      <c r="F72" s="142" t="s">
        <v>1889</v>
      </c>
      <c r="G72" s="196">
        <v>50000</v>
      </c>
      <c r="H72" s="66" t="s">
        <v>1571</v>
      </c>
      <c r="I72" s="181" t="s">
        <v>1883</v>
      </c>
      <c r="J72" s="179">
        <v>50000</v>
      </c>
    </row>
    <row r="73" spans="1:10" ht="62.25" customHeight="1">
      <c r="A73" s="303"/>
      <c r="B73" s="303"/>
      <c r="C73" s="142" t="s">
        <v>1048</v>
      </c>
      <c r="D73" s="142" t="s">
        <v>431</v>
      </c>
      <c r="E73" s="142" t="s">
        <v>1719</v>
      </c>
      <c r="F73" s="142" t="s">
        <v>1889</v>
      </c>
      <c r="G73" s="196">
        <v>30000</v>
      </c>
      <c r="H73" s="66" t="s">
        <v>1572</v>
      </c>
      <c r="I73" s="181" t="s">
        <v>1883</v>
      </c>
      <c r="J73" s="196">
        <v>30000</v>
      </c>
    </row>
    <row r="74" spans="1:10" ht="24.75" customHeight="1">
      <c r="A74" s="182"/>
      <c r="B74" s="182"/>
      <c r="C74" s="63" t="s">
        <v>1551</v>
      </c>
      <c r="D74" s="63" t="s">
        <v>445</v>
      </c>
      <c r="E74" s="63" t="s">
        <v>1071</v>
      </c>
      <c r="F74" s="187" t="s">
        <v>1071</v>
      </c>
      <c r="G74" s="183">
        <f>SUM(G64:G73)</f>
        <v>360000</v>
      </c>
      <c r="H74" s="64" t="s">
        <v>449</v>
      </c>
      <c r="I74" s="184"/>
      <c r="J74" s="183">
        <f>SUM(J64:J73)</f>
        <v>270000</v>
      </c>
    </row>
    <row r="75" spans="1:10" ht="24.75" customHeight="1">
      <c r="A75" s="305"/>
      <c r="B75" s="305"/>
      <c r="C75" s="310"/>
      <c r="D75" s="310"/>
      <c r="E75" s="310"/>
      <c r="F75" s="310"/>
      <c r="G75" s="307">
        <f>G59+G74+G63+G61</f>
        <v>613882.99</v>
      </c>
      <c r="H75" s="393" t="s">
        <v>1890</v>
      </c>
      <c r="I75" s="310"/>
      <c r="J75" s="307">
        <f>J59+J74+J63+J61</f>
        <v>1245649</v>
      </c>
    </row>
    <row r="76" spans="1:10" ht="24" customHeight="1">
      <c r="A76" s="305"/>
      <c r="B76" s="305">
        <v>14000000</v>
      </c>
      <c r="C76" s="310"/>
      <c r="D76" s="310"/>
      <c r="E76" s="310"/>
      <c r="F76" s="310"/>
      <c r="G76" s="306">
        <f>G75+G53</f>
        <v>2898006.3899999997</v>
      </c>
      <c r="H76" s="393" t="s">
        <v>1891</v>
      </c>
      <c r="I76" s="310"/>
      <c r="J76" s="307">
        <f>J75+J53</f>
        <v>4660855</v>
      </c>
    </row>
    <row r="77" spans="1:10" ht="87" customHeight="1">
      <c r="A77" s="312"/>
      <c r="B77" s="312"/>
      <c r="C77" s="142" t="s">
        <v>1537</v>
      </c>
      <c r="D77" s="142" t="s">
        <v>34</v>
      </c>
      <c r="E77" s="142" t="s">
        <v>188</v>
      </c>
      <c r="F77" s="65" t="s">
        <v>1863</v>
      </c>
      <c r="G77" s="195">
        <v>50000</v>
      </c>
      <c r="H77" s="194" t="s">
        <v>1623</v>
      </c>
      <c r="I77" s="181" t="s">
        <v>1235</v>
      </c>
      <c r="J77" s="179">
        <v>0</v>
      </c>
    </row>
    <row r="78" spans="1:10" ht="37.5" customHeight="1">
      <c r="A78" s="312"/>
      <c r="B78" s="312"/>
      <c r="C78" s="142" t="s">
        <v>1537</v>
      </c>
      <c r="D78" s="142" t="s">
        <v>34</v>
      </c>
      <c r="E78" s="142" t="s">
        <v>188</v>
      </c>
      <c r="F78" s="65" t="s">
        <v>1863</v>
      </c>
      <c r="G78" s="195">
        <v>47750</v>
      </c>
      <c r="H78" s="194" t="s">
        <v>1573</v>
      </c>
      <c r="I78" s="181" t="s">
        <v>1883</v>
      </c>
      <c r="J78" s="179">
        <v>50000</v>
      </c>
    </row>
    <row r="79" spans="1:10" ht="69.75" customHeight="1">
      <c r="A79" s="312"/>
      <c r="B79" s="312"/>
      <c r="C79" s="142" t="s">
        <v>1537</v>
      </c>
      <c r="D79" s="142" t="s">
        <v>34</v>
      </c>
      <c r="E79" s="142" t="s">
        <v>188</v>
      </c>
      <c r="F79" s="65" t="s">
        <v>1863</v>
      </c>
      <c r="G79" s="195">
        <v>68832</v>
      </c>
      <c r="H79" s="194" t="s">
        <v>1574</v>
      </c>
      <c r="I79" s="181" t="s">
        <v>1883</v>
      </c>
      <c r="J79" s="179">
        <v>68832</v>
      </c>
    </row>
    <row r="80" spans="1:10" ht="69.75" customHeight="1">
      <c r="A80" s="312"/>
      <c r="B80" s="312"/>
      <c r="C80" s="142" t="s">
        <v>1537</v>
      </c>
      <c r="D80" s="142" t="s">
        <v>34</v>
      </c>
      <c r="E80" s="142" t="s">
        <v>188</v>
      </c>
      <c r="F80" s="65" t="s">
        <v>1863</v>
      </c>
      <c r="G80" s="195">
        <v>24000</v>
      </c>
      <c r="H80" s="194" t="s">
        <v>1575</v>
      </c>
      <c r="I80" s="181" t="s">
        <v>1883</v>
      </c>
      <c r="J80" s="179">
        <v>24000</v>
      </c>
    </row>
    <row r="81" spans="1:10" ht="80.25" customHeight="1">
      <c r="A81" s="312"/>
      <c r="B81" s="312"/>
      <c r="C81" s="142" t="s">
        <v>1537</v>
      </c>
      <c r="D81" s="142" t="s">
        <v>34</v>
      </c>
      <c r="E81" s="142" t="s">
        <v>188</v>
      </c>
      <c r="F81" s="65" t="s">
        <v>1863</v>
      </c>
      <c r="G81" s="195">
        <v>30000</v>
      </c>
      <c r="H81" s="194" t="s">
        <v>1576</v>
      </c>
      <c r="I81" s="181" t="s">
        <v>1883</v>
      </c>
      <c r="J81" s="179">
        <v>30000</v>
      </c>
    </row>
    <row r="82" spans="1:10" ht="54" customHeight="1">
      <c r="A82" s="312"/>
      <c r="B82" s="312"/>
      <c r="C82" s="142" t="s">
        <v>1537</v>
      </c>
      <c r="D82" s="142" t="s">
        <v>34</v>
      </c>
      <c r="E82" s="142" t="s">
        <v>1837</v>
      </c>
      <c r="F82" s="65" t="s">
        <v>1886</v>
      </c>
      <c r="G82" s="195">
        <v>16455</v>
      </c>
      <c r="H82" s="194" t="s">
        <v>1577</v>
      </c>
      <c r="I82" s="181" t="s">
        <v>1883</v>
      </c>
      <c r="J82" s="179">
        <v>16455</v>
      </c>
    </row>
    <row r="83" spans="1:10" ht="25.5" customHeight="1">
      <c r="A83" s="396"/>
      <c r="B83" s="396"/>
      <c r="C83" s="63" t="s">
        <v>1864</v>
      </c>
      <c r="D83" s="63" t="s">
        <v>445</v>
      </c>
      <c r="E83" s="63" t="s">
        <v>1071</v>
      </c>
      <c r="F83" s="63" t="s">
        <v>1071</v>
      </c>
      <c r="G83" s="183">
        <f>SUM(G77:G82)</f>
        <v>237037</v>
      </c>
      <c r="H83" s="64" t="s">
        <v>446</v>
      </c>
      <c r="I83" s="394"/>
      <c r="J83" s="183">
        <f>SUM(J77:J82)</f>
        <v>189287</v>
      </c>
    </row>
    <row r="84" spans="1:10" ht="54.75" customHeight="1">
      <c r="A84" s="395"/>
      <c r="B84" s="395"/>
      <c r="C84" s="186" t="s">
        <v>1888</v>
      </c>
      <c r="D84" s="186" t="s">
        <v>1062</v>
      </c>
      <c r="E84" s="186" t="s">
        <v>1637</v>
      </c>
      <c r="F84" s="186" t="s">
        <v>1564</v>
      </c>
      <c r="G84" s="315">
        <v>249000</v>
      </c>
      <c r="H84" s="185" t="s">
        <v>1565</v>
      </c>
      <c r="I84" s="181" t="s">
        <v>1235</v>
      </c>
      <c r="J84" s="179">
        <v>0</v>
      </c>
    </row>
    <row r="85" spans="1:10" ht="109.5" customHeight="1">
      <c r="A85" s="395"/>
      <c r="B85" s="395"/>
      <c r="C85" s="186" t="s">
        <v>1888</v>
      </c>
      <c r="D85" s="186" t="s">
        <v>1062</v>
      </c>
      <c r="E85" s="186" t="s">
        <v>88</v>
      </c>
      <c r="F85" s="186" t="s">
        <v>1862</v>
      </c>
      <c r="G85" s="315">
        <v>0</v>
      </c>
      <c r="H85" s="192" t="s">
        <v>1578</v>
      </c>
      <c r="I85" s="181" t="s">
        <v>1883</v>
      </c>
      <c r="J85" s="179">
        <v>19500</v>
      </c>
    </row>
    <row r="86" spans="1:10" ht="39.75" customHeight="1">
      <c r="A86" s="395"/>
      <c r="B86" s="395"/>
      <c r="C86" s="186" t="s">
        <v>1888</v>
      </c>
      <c r="D86" s="186" t="s">
        <v>1062</v>
      </c>
      <c r="E86" s="186" t="s">
        <v>1837</v>
      </c>
      <c r="F86" s="186" t="s">
        <v>1862</v>
      </c>
      <c r="G86" s="196">
        <v>629335</v>
      </c>
      <c r="H86" s="185" t="s">
        <v>1629</v>
      </c>
      <c r="I86" s="181" t="s">
        <v>1235</v>
      </c>
      <c r="J86" s="179">
        <v>629335</v>
      </c>
    </row>
    <row r="87" spans="1:10" ht="26.25" customHeight="1">
      <c r="A87" s="392"/>
      <c r="B87" s="392"/>
      <c r="C87" s="63" t="s">
        <v>433</v>
      </c>
      <c r="D87" s="63" t="s">
        <v>445</v>
      </c>
      <c r="E87" s="63" t="s">
        <v>1071</v>
      </c>
      <c r="F87" s="63" t="s">
        <v>1071</v>
      </c>
      <c r="G87" s="183">
        <f>SUM(G84:G86)</f>
        <v>878335</v>
      </c>
      <c r="H87" s="64" t="s">
        <v>1865</v>
      </c>
      <c r="I87" s="394"/>
      <c r="J87" s="183">
        <f>SUM(J84:J85)</f>
        <v>19500</v>
      </c>
    </row>
    <row r="88" spans="1:10" ht="58.5" customHeight="1">
      <c r="A88" s="312"/>
      <c r="B88" s="312"/>
      <c r="C88" s="189" t="s">
        <v>1552</v>
      </c>
      <c r="D88" s="189" t="s">
        <v>1050</v>
      </c>
      <c r="E88" s="189" t="s">
        <v>801</v>
      </c>
      <c r="F88" s="190" t="s">
        <v>799</v>
      </c>
      <c r="G88" s="179">
        <v>19609.24</v>
      </c>
      <c r="H88" s="185" t="s">
        <v>1579</v>
      </c>
      <c r="I88" s="193" t="s">
        <v>209</v>
      </c>
      <c r="J88" s="179">
        <v>19610</v>
      </c>
    </row>
    <row r="89" spans="1:10" ht="52.5" customHeight="1">
      <c r="A89" s="312"/>
      <c r="B89" s="312"/>
      <c r="C89" s="189" t="s">
        <v>1552</v>
      </c>
      <c r="D89" s="189" t="s">
        <v>1050</v>
      </c>
      <c r="E89" s="189" t="s">
        <v>801</v>
      </c>
      <c r="F89" s="190" t="s">
        <v>799</v>
      </c>
      <c r="G89" s="179">
        <v>28065</v>
      </c>
      <c r="H89" s="185" t="s">
        <v>1580</v>
      </c>
      <c r="I89" s="193" t="s">
        <v>209</v>
      </c>
      <c r="J89" s="179">
        <v>28065</v>
      </c>
    </row>
    <row r="90" spans="1:10" ht="51" customHeight="1">
      <c r="A90" s="301"/>
      <c r="B90" s="301"/>
      <c r="C90" s="189" t="s">
        <v>1553</v>
      </c>
      <c r="D90" s="189" t="s">
        <v>1051</v>
      </c>
      <c r="E90" s="189" t="s">
        <v>801</v>
      </c>
      <c r="F90" s="190" t="s">
        <v>799</v>
      </c>
      <c r="G90" s="191">
        <v>28832.05</v>
      </c>
      <c r="H90" s="192" t="s">
        <v>1581</v>
      </c>
      <c r="I90" s="193" t="s">
        <v>209</v>
      </c>
      <c r="J90" s="196">
        <v>28833</v>
      </c>
    </row>
    <row r="91" spans="1:10" ht="53.25" customHeight="1">
      <c r="A91" s="301"/>
      <c r="B91" s="301"/>
      <c r="C91" s="189" t="s">
        <v>1553</v>
      </c>
      <c r="D91" s="189" t="s">
        <v>1051</v>
      </c>
      <c r="E91" s="189" t="s">
        <v>801</v>
      </c>
      <c r="F91" s="190" t="s">
        <v>799</v>
      </c>
      <c r="G91" s="191">
        <v>35200</v>
      </c>
      <c r="H91" s="192" t="s">
        <v>826</v>
      </c>
      <c r="I91" s="193" t="s">
        <v>209</v>
      </c>
      <c r="J91" s="196">
        <v>35200</v>
      </c>
    </row>
    <row r="92" spans="1:10" ht="64.5" customHeight="1">
      <c r="A92" s="301"/>
      <c r="B92" s="301"/>
      <c r="C92" s="189" t="s">
        <v>1553</v>
      </c>
      <c r="D92" s="189" t="s">
        <v>1051</v>
      </c>
      <c r="E92" s="189" t="s">
        <v>801</v>
      </c>
      <c r="F92" s="190" t="s">
        <v>799</v>
      </c>
      <c r="G92" s="191">
        <v>30650</v>
      </c>
      <c r="H92" s="192" t="s">
        <v>827</v>
      </c>
      <c r="I92" s="193" t="s">
        <v>209</v>
      </c>
      <c r="J92" s="196">
        <v>30650</v>
      </c>
    </row>
    <row r="93" spans="1:10" ht="25.5" customHeight="1">
      <c r="A93" s="302"/>
      <c r="B93" s="302"/>
      <c r="C93" s="63" t="s">
        <v>37</v>
      </c>
      <c r="D93" s="63" t="s">
        <v>1055</v>
      </c>
      <c r="E93" s="63" t="s">
        <v>1071</v>
      </c>
      <c r="F93" s="187" t="s">
        <v>1071</v>
      </c>
      <c r="G93" s="183">
        <f>SUM(G88:G92)</f>
        <v>142356.29</v>
      </c>
      <c r="H93" s="64" t="s">
        <v>447</v>
      </c>
      <c r="I93" s="184"/>
      <c r="J93" s="183">
        <f>SUM(J88:J92)</f>
        <v>142358</v>
      </c>
    </row>
    <row r="94" spans="1:10" ht="36.75" customHeight="1">
      <c r="A94" s="397"/>
      <c r="B94" s="398"/>
      <c r="C94" s="186" t="s">
        <v>968</v>
      </c>
      <c r="D94" s="186" t="s">
        <v>63</v>
      </c>
      <c r="E94" s="186" t="s">
        <v>1637</v>
      </c>
      <c r="F94" s="186" t="s">
        <v>1564</v>
      </c>
      <c r="G94" s="315">
        <v>0</v>
      </c>
      <c r="H94" s="185" t="s">
        <v>828</v>
      </c>
      <c r="I94" s="181" t="s">
        <v>829</v>
      </c>
      <c r="J94" s="179">
        <v>100000</v>
      </c>
    </row>
    <row r="95" spans="1:10" ht="26.25" customHeight="1">
      <c r="A95" s="182"/>
      <c r="B95" s="182"/>
      <c r="C95" s="63" t="s">
        <v>1893</v>
      </c>
      <c r="D95" s="63" t="s">
        <v>445</v>
      </c>
      <c r="E95" s="63" t="s">
        <v>1071</v>
      </c>
      <c r="F95" s="63" t="s">
        <v>1071</v>
      </c>
      <c r="G95" s="188">
        <f>SUM(G94)</f>
        <v>0</v>
      </c>
      <c r="H95" s="64" t="s">
        <v>448</v>
      </c>
      <c r="I95" s="394"/>
      <c r="J95" s="183">
        <f>SUM(J94)</f>
        <v>100000</v>
      </c>
    </row>
    <row r="96" spans="1:10" ht="56.25" customHeight="1">
      <c r="A96" s="399"/>
      <c r="B96" s="399"/>
      <c r="C96" s="142" t="s">
        <v>1048</v>
      </c>
      <c r="D96" s="142" t="s">
        <v>431</v>
      </c>
      <c r="E96" s="142" t="s">
        <v>1719</v>
      </c>
      <c r="F96" s="142" t="s">
        <v>1889</v>
      </c>
      <c r="G96" s="196">
        <v>30000</v>
      </c>
      <c r="H96" s="311" t="s">
        <v>830</v>
      </c>
      <c r="I96" s="181" t="s">
        <v>1883</v>
      </c>
      <c r="J96" s="196">
        <v>30000</v>
      </c>
    </row>
    <row r="97" spans="1:10" ht="62.25" customHeight="1">
      <c r="A97" s="399"/>
      <c r="B97" s="399"/>
      <c r="C97" s="142" t="s">
        <v>1048</v>
      </c>
      <c r="D97" s="142" t="s">
        <v>431</v>
      </c>
      <c r="E97" s="142" t="s">
        <v>1719</v>
      </c>
      <c r="F97" s="142" t="s">
        <v>1889</v>
      </c>
      <c r="G97" s="196">
        <v>75000</v>
      </c>
      <c r="H97" s="311" t="s">
        <v>831</v>
      </c>
      <c r="I97" s="181" t="s">
        <v>1883</v>
      </c>
      <c r="J97" s="196">
        <v>75000</v>
      </c>
    </row>
    <row r="98" spans="1:10" ht="58.5" customHeight="1">
      <c r="A98" s="399"/>
      <c r="B98" s="399"/>
      <c r="C98" s="142" t="s">
        <v>1048</v>
      </c>
      <c r="D98" s="142" t="s">
        <v>431</v>
      </c>
      <c r="E98" s="142" t="s">
        <v>1719</v>
      </c>
      <c r="F98" s="142" t="s">
        <v>1889</v>
      </c>
      <c r="G98" s="196">
        <v>120000</v>
      </c>
      <c r="H98" s="311" t="s">
        <v>832</v>
      </c>
      <c r="I98" s="181" t="s">
        <v>1883</v>
      </c>
      <c r="J98" s="196">
        <v>120000</v>
      </c>
    </row>
    <row r="99" spans="1:10" ht="54" customHeight="1">
      <c r="A99" s="399"/>
      <c r="B99" s="399"/>
      <c r="C99" s="142" t="s">
        <v>1048</v>
      </c>
      <c r="D99" s="142" t="s">
        <v>431</v>
      </c>
      <c r="E99" s="142" t="s">
        <v>1719</v>
      </c>
      <c r="F99" s="142" t="s">
        <v>1889</v>
      </c>
      <c r="G99" s="196">
        <v>30000</v>
      </c>
      <c r="H99" s="311" t="s">
        <v>833</v>
      </c>
      <c r="I99" s="181" t="s">
        <v>1883</v>
      </c>
      <c r="J99" s="196">
        <v>30000</v>
      </c>
    </row>
    <row r="100" spans="1:10" ht="57" customHeight="1">
      <c r="A100" s="399"/>
      <c r="B100" s="399"/>
      <c r="C100" s="142" t="s">
        <v>1048</v>
      </c>
      <c r="D100" s="142" t="s">
        <v>431</v>
      </c>
      <c r="E100" s="142" t="s">
        <v>1719</v>
      </c>
      <c r="F100" s="142" t="s">
        <v>1889</v>
      </c>
      <c r="G100" s="196">
        <v>30000</v>
      </c>
      <c r="H100" s="311" t="s">
        <v>834</v>
      </c>
      <c r="I100" s="181" t="s">
        <v>1883</v>
      </c>
      <c r="J100" s="196">
        <v>30000</v>
      </c>
    </row>
    <row r="101" spans="1:10" ht="57" customHeight="1">
      <c r="A101" s="399"/>
      <c r="B101" s="399"/>
      <c r="C101" s="142" t="s">
        <v>1048</v>
      </c>
      <c r="D101" s="142" t="s">
        <v>431</v>
      </c>
      <c r="E101" s="142" t="s">
        <v>1719</v>
      </c>
      <c r="F101" s="142" t="s">
        <v>1889</v>
      </c>
      <c r="G101" s="196">
        <v>30000</v>
      </c>
      <c r="H101" s="311" t="s">
        <v>835</v>
      </c>
      <c r="I101" s="181" t="s">
        <v>1883</v>
      </c>
      <c r="J101" s="196">
        <v>30000</v>
      </c>
    </row>
    <row r="102" spans="1:10" ht="54" customHeight="1">
      <c r="A102" s="399"/>
      <c r="B102" s="399"/>
      <c r="C102" s="142" t="s">
        <v>1048</v>
      </c>
      <c r="D102" s="142" t="s">
        <v>431</v>
      </c>
      <c r="E102" s="142" t="s">
        <v>1719</v>
      </c>
      <c r="F102" s="142" t="s">
        <v>1889</v>
      </c>
      <c r="G102" s="196">
        <v>30000</v>
      </c>
      <c r="H102" s="311" t="s">
        <v>836</v>
      </c>
      <c r="I102" s="181" t="s">
        <v>1883</v>
      </c>
      <c r="J102" s="196">
        <v>30000</v>
      </c>
    </row>
    <row r="103" spans="1:10" ht="55.5" customHeight="1">
      <c r="A103" s="399"/>
      <c r="B103" s="399"/>
      <c r="C103" s="142" t="s">
        <v>1048</v>
      </c>
      <c r="D103" s="142" t="s">
        <v>431</v>
      </c>
      <c r="E103" s="142" t="s">
        <v>1719</v>
      </c>
      <c r="F103" s="142" t="s">
        <v>1889</v>
      </c>
      <c r="G103" s="196">
        <v>30000</v>
      </c>
      <c r="H103" s="311" t="s">
        <v>837</v>
      </c>
      <c r="I103" s="181" t="s">
        <v>1883</v>
      </c>
      <c r="J103" s="196">
        <v>30000</v>
      </c>
    </row>
    <row r="104" spans="1:10" ht="57.75" customHeight="1">
      <c r="A104" s="399"/>
      <c r="B104" s="399"/>
      <c r="C104" s="142" t="s">
        <v>1048</v>
      </c>
      <c r="D104" s="142" t="s">
        <v>431</v>
      </c>
      <c r="E104" s="142" t="s">
        <v>1719</v>
      </c>
      <c r="F104" s="142" t="s">
        <v>1889</v>
      </c>
      <c r="G104" s="196">
        <v>30000</v>
      </c>
      <c r="H104" s="311" t="s">
        <v>838</v>
      </c>
      <c r="I104" s="181" t="s">
        <v>1883</v>
      </c>
      <c r="J104" s="196">
        <v>30000</v>
      </c>
    </row>
    <row r="105" spans="1:10" ht="52.5" customHeight="1">
      <c r="A105" s="399"/>
      <c r="B105" s="399"/>
      <c r="C105" s="142" t="s">
        <v>1048</v>
      </c>
      <c r="D105" s="142" t="s">
        <v>431</v>
      </c>
      <c r="E105" s="142" t="s">
        <v>1719</v>
      </c>
      <c r="F105" s="142" t="s">
        <v>1889</v>
      </c>
      <c r="G105" s="196">
        <v>90000</v>
      </c>
      <c r="H105" s="311" t="s">
        <v>839</v>
      </c>
      <c r="I105" s="181" t="s">
        <v>1883</v>
      </c>
      <c r="J105" s="196">
        <v>90000</v>
      </c>
    </row>
    <row r="106" spans="1:10" ht="57" customHeight="1">
      <c r="A106" s="399"/>
      <c r="B106" s="399"/>
      <c r="C106" s="142" t="s">
        <v>1048</v>
      </c>
      <c r="D106" s="142" t="s">
        <v>431</v>
      </c>
      <c r="E106" s="142" t="s">
        <v>1719</v>
      </c>
      <c r="F106" s="142" t="s">
        <v>1889</v>
      </c>
      <c r="G106" s="196">
        <v>60000</v>
      </c>
      <c r="H106" s="311" t="s">
        <v>840</v>
      </c>
      <c r="I106" s="181" t="s">
        <v>1883</v>
      </c>
      <c r="J106" s="196">
        <v>60000</v>
      </c>
    </row>
    <row r="107" spans="1:10" ht="26.25" customHeight="1">
      <c r="A107" s="399"/>
      <c r="B107" s="399"/>
      <c r="C107" s="63" t="s">
        <v>1551</v>
      </c>
      <c r="D107" s="63" t="s">
        <v>445</v>
      </c>
      <c r="E107" s="63" t="s">
        <v>1071</v>
      </c>
      <c r="F107" s="187" t="s">
        <v>1071</v>
      </c>
      <c r="G107" s="183">
        <f>SUM(G96:G106)</f>
        <v>555000</v>
      </c>
      <c r="H107" s="64" t="s">
        <v>449</v>
      </c>
      <c r="I107" s="184"/>
      <c r="J107" s="183">
        <f>SUM(J96:J106)</f>
        <v>555000</v>
      </c>
    </row>
    <row r="108" spans="1:10" ht="26.25" customHeight="1">
      <c r="A108" s="400"/>
      <c r="B108" s="400"/>
      <c r="C108" s="310"/>
      <c r="D108" s="310"/>
      <c r="E108" s="310"/>
      <c r="F108" s="310"/>
      <c r="G108" s="307">
        <f>G95+G87+G93+G83+G107</f>
        <v>1812728.29</v>
      </c>
      <c r="H108" s="393" t="s">
        <v>1882</v>
      </c>
      <c r="I108" s="310"/>
      <c r="J108" s="307">
        <f>J95+J87+J93+J83+J107</f>
        <v>1006145</v>
      </c>
    </row>
    <row r="109" spans="1:10" ht="26.25" customHeight="1">
      <c r="A109" s="305"/>
      <c r="B109" s="305">
        <v>14000000</v>
      </c>
      <c r="C109" s="310"/>
      <c r="D109" s="310"/>
      <c r="E109" s="310"/>
      <c r="F109" s="310"/>
      <c r="G109" s="306">
        <f>G76+G108</f>
        <v>4710734.68</v>
      </c>
      <c r="H109" s="393" t="s">
        <v>841</v>
      </c>
      <c r="I109" s="310"/>
      <c r="J109" s="307">
        <f>J76+J108</f>
        <v>5667000</v>
      </c>
    </row>
    <row r="110" spans="1:10" ht="32.25" customHeight="1">
      <c r="A110" s="401" t="s">
        <v>842</v>
      </c>
      <c r="B110" s="197"/>
      <c r="C110" s="402"/>
      <c r="D110" s="402"/>
      <c r="E110" s="402"/>
      <c r="F110" s="402"/>
      <c r="G110" s="403"/>
      <c r="H110" s="404"/>
      <c r="I110" s="402"/>
      <c r="J110" s="199"/>
    </row>
    <row r="111" spans="1:10" ht="21" customHeight="1">
      <c r="A111" s="401" t="s">
        <v>945</v>
      </c>
      <c r="B111" s="197"/>
      <c r="C111" s="197"/>
      <c r="D111" s="197"/>
      <c r="E111" s="197"/>
      <c r="F111" s="197"/>
      <c r="G111" s="383"/>
      <c r="H111"/>
      <c r="I111" s="405"/>
      <c r="J111" s="405"/>
    </row>
    <row r="112" spans="1:10" ht="24.75" customHeight="1">
      <c r="A112" s="197"/>
      <c r="B112" s="197"/>
      <c r="C112" s="197"/>
      <c r="D112" s="197"/>
      <c r="E112" s="406"/>
      <c r="F112" s="383"/>
      <c r="G112" s="407"/>
      <c r="H112" s="408"/>
      <c r="I112" s="409"/>
      <c r="J112" s="405"/>
    </row>
    <row r="113" spans="1:10" ht="21" customHeight="1" hidden="1">
      <c r="A113" s="197"/>
      <c r="B113" s="197"/>
      <c r="C113" s="197"/>
      <c r="D113" s="197"/>
      <c r="E113" s="197"/>
      <c r="F113" s="383"/>
      <c r="G113" s="407"/>
      <c r="H113" s="410"/>
      <c r="I113" s="405"/>
      <c r="J113" s="405"/>
    </row>
    <row r="114" spans="1:10" ht="27" customHeight="1">
      <c r="A114" s="60"/>
      <c r="C114" s="60"/>
      <c r="D114" s="60"/>
      <c r="E114" s="60"/>
      <c r="F114" s="139"/>
      <c r="G114" s="60"/>
      <c r="I114" s="60"/>
      <c r="J114"/>
    </row>
    <row r="115" spans="1:10" ht="21.75" customHeight="1">
      <c r="A115" s="60"/>
      <c r="C115" s="60"/>
      <c r="D115" s="60"/>
      <c r="E115" s="60"/>
      <c r="F115" s="139"/>
      <c r="G115" s="60"/>
      <c r="I115" s="60"/>
      <c r="J115"/>
    </row>
    <row r="116" spans="1:10" ht="26.25" customHeight="1">
      <c r="A116" s="60"/>
      <c r="C116" s="60"/>
      <c r="D116" s="60"/>
      <c r="E116" s="60"/>
      <c r="F116" s="139"/>
      <c r="G116" s="60"/>
      <c r="I116" s="60"/>
      <c r="J116"/>
    </row>
    <row r="117" spans="1:10" ht="20.25" customHeight="1">
      <c r="A117" s="60"/>
      <c r="B117" s="411"/>
      <c r="C117" s="411"/>
      <c r="D117" s="411"/>
      <c r="E117" s="411"/>
      <c r="F117" s="139"/>
      <c r="G117" s="60"/>
      <c r="I117" s="60"/>
      <c r="J117"/>
    </row>
    <row r="118" spans="1:10" ht="52.5" customHeight="1">
      <c r="A118" s="60"/>
      <c r="B118" s="411"/>
      <c r="C118" s="411"/>
      <c r="D118" s="411"/>
      <c r="E118" s="411"/>
      <c r="F118" s="139"/>
      <c r="G118" s="60"/>
      <c r="I118" s="60"/>
      <c r="J118"/>
    </row>
    <row r="119" spans="1:10" ht="51.75" customHeight="1">
      <c r="A119" s="60"/>
      <c r="B119" s="411"/>
      <c r="C119" s="411"/>
      <c r="D119" s="411"/>
      <c r="E119" s="411"/>
      <c r="F119" s="139"/>
      <c r="G119" s="60"/>
      <c r="I119" s="60"/>
      <c r="J119"/>
    </row>
    <row r="120" spans="1:10" ht="53.25" customHeight="1">
      <c r="A120" s="60"/>
      <c r="B120" s="411"/>
      <c r="C120" s="411"/>
      <c r="D120" s="411"/>
      <c r="E120" s="411"/>
      <c r="F120" s="139"/>
      <c r="G120" s="60"/>
      <c r="I120" s="60"/>
      <c r="J120"/>
    </row>
    <row r="121" spans="1:10" ht="52.5" customHeight="1">
      <c r="A121" s="60"/>
      <c r="B121" s="411"/>
      <c r="C121" s="411"/>
      <c r="D121" s="411"/>
      <c r="E121" s="411"/>
      <c r="F121" s="139"/>
      <c r="G121" s="60"/>
      <c r="I121" s="60"/>
      <c r="J121"/>
    </row>
    <row r="122" spans="1:10" ht="51" customHeight="1">
      <c r="A122" s="60"/>
      <c r="B122" s="411"/>
      <c r="C122" s="411"/>
      <c r="D122" s="411"/>
      <c r="E122" s="411"/>
      <c r="F122" s="139"/>
      <c r="G122" s="60"/>
      <c r="I122" s="60"/>
      <c r="J122"/>
    </row>
    <row r="123" spans="3:10" ht="36" customHeight="1">
      <c r="C123" s="411"/>
      <c r="D123" s="411"/>
      <c r="E123" s="411"/>
      <c r="F123" s="411"/>
      <c r="I123" s="60"/>
      <c r="J123" s="60"/>
    </row>
    <row r="124" spans="3:10" ht="22.5" customHeight="1">
      <c r="C124" s="411"/>
      <c r="D124" s="411"/>
      <c r="E124" s="411"/>
      <c r="F124" s="411"/>
      <c r="I124" s="60"/>
      <c r="J124" s="60"/>
    </row>
    <row r="125" spans="3:10" ht="24" customHeight="1">
      <c r="C125" s="411"/>
      <c r="D125" s="411"/>
      <c r="E125" s="411"/>
      <c r="F125" s="411"/>
      <c r="I125" s="60"/>
      <c r="J125" s="60"/>
    </row>
    <row r="126" spans="3:10" ht="21" customHeight="1">
      <c r="C126" s="411"/>
      <c r="D126" s="411"/>
      <c r="E126" s="411"/>
      <c r="F126" s="411"/>
      <c r="I126" s="60"/>
      <c r="J126" s="60"/>
    </row>
    <row r="127" spans="3:10" ht="48.75" customHeight="1">
      <c r="C127" s="411"/>
      <c r="D127" s="411"/>
      <c r="E127" s="411"/>
      <c r="F127" s="411"/>
      <c r="I127" s="60"/>
      <c r="J127" s="60"/>
    </row>
    <row r="128" spans="3:10" ht="48.75" customHeight="1">
      <c r="C128" s="411"/>
      <c r="D128" s="411"/>
      <c r="E128" s="411"/>
      <c r="F128" s="411"/>
      <c r="I128" s="60"/>
      <c r="J128" s="60"/>
    </row>
    <row r="129" spans="3:10" ht="28.5" customHeight="1">
      <c r="C129" s="411"/>
      <c r="D129" s="411"/>
      <c r="E129" s="411"/>
      <c r="F129" s="411"/>
      <c r="I129" s="60"/>
      <c r="J129" s="60"/>
    </row>
    <row r="130" spans="3:10" ht="39" customHeight="1">
      <c r="C130" s="411"/>
      <c r="D130" s="411"/>
      <c r="E130" s="411"/>
      <c r="F130" s="411"/>
      <c r="I130" s="60"/>
      <c r="J130" s="60"/>
    </row>
    <row r="131" spans="3:10" ht="39" customHeight="1">
      <c r="C131" s="411"/>
      <c r="D131" s="411"/>
      <c r="E131" s="411"/>
      <c r="F131" s="411"/>
      <c r="I131" s="60"/>
      <c r="J131" s="60"/>
    </row>
    <row r="132" spans="3:10" ht="39" customHeight="1">
      <c r="C132" s="411"/>
      <c r="D132" s="411"/>
      <c r="E132" s="411"/>
      <c r="F132" s="411"/>
      <c r="I132" s="60"/>
      <c r="J132" s="60"/>
    </row>
    <row r="133" spans="3:10" ht="37.5" customHeight="1">
      <c r="C133" s="411"/>
      <c r="D133" s="411"/>
      <c r="E133" s="411"/>
      <c r="F133" s="411"/>
      <c r="I133" s="60"/>
      <c r="J133" s="60"/>
    </row>
    <row r="134" spans="3:10" ht="37.5" customHeight="1">
      <c r="C134" s="411"/>
      <c r="D134" s="411"/>
      <c r="E134" s="411"/>
      <c r="F134" s="411"/>
      <c r="I134" s="60"/>
      <c r="J134" s="60"/>
    </row>
    <row r="135" spans="3:10" ht="37.5" customHeight="1">
      <c r="C135" s="411"/>
      <c r="D135" s="411"/>
      <c r="E135" s="411"/>
      <c r="F135" s="411"/>
      <c r="I135" s="60"/>
      <c r="J135" s="60"/>
    </row>
    <row r="136" spans="3:10" ht="37.5" customHeight="1">
      <c r="C136" s="411"/>
      <c r="D136" s="411"/>
      <c r="E136" s="411"/>
      <c r="F136" s="411"/>
      <c r="I136" s="60"/>
      <c r="J136" s="60"/>
    </row>
    <row r="137" spans="3:10" ht="66.75" customHeight="1">
      <c r="C137" s="411"/>
      <c r="D137" s="411"/>
      <c r="E137" s="411"/>
      <c r="F137" s="411"/>
      <c r="I137" s="60"/>
      <c r="J137" s="60"/>
    </row>
    <row r="138" spans="3:10" ht="28.5" customHeight="1">
      <c r="C138" s="411"/>
      <c r="D138" s="411"/>
      <c r="E138" s="411"/>
      <c r="F138" s="411"/>
      <c r="I138" s="60"/>
      <c r="J138" s="60"/>
    </row>
  </sheetData>
  <sheetProtection/>
  <mergeCells count="14">
    <mergeCell ref="A9:J9"/>
    <mergeCell ref="A10:J10"/>
    <mergeCell ref="A8:J8"/>
    <mergeCell ref="A13:A14"/>
    <mergeCell ref="B13:B14"/>
    <mergeCell ref="C13:C14"/>
    <mergeCell ref="D13:D14"/>
    <mergeCell ref="E13:E14"/>
    <mergeCell ref="J13:J14"/>
    <mergeCell ref="H26:I26"/>
    <mergeCell ref="F13:F14"/>
    <mergeCell ref="G13:G14"/>
    <mergeCell ref="H13:H14"/>
    <mergeCell ref="I13:I14"/>
  </mergeCells>
  <printOptions/>
  <pageMargins left="0.75" right="0.75" top="1" bottom="1" header="0.5" footer="0.5"/>
  <pageSetup firstPageNumber="100" useFirstPageNumber="1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konyaeva</cp:lastModifiedBy>
  <cp:lastPrinted>2013-03-26T11:17:01Z</cp:lastPrinted>
  <dcterms:created xsi:type="dcterms:W3CDTF">2002-07-29T05:32:52Z</dcterms:created>
  <dcterms:modified xsi:type="dcterms:W3CDTF">2013-04-23T09:51:42Z</dcterms:modified>
  <cp:category/>
  <cp:version/>
  <cp:contentType/>
  <cp:contentStatus/>
</cp:coreProperties>
</file>